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firstSheet="3" activeTab="7"/>
  </bookViews>
  <sheets>
    <sheet name="UR10" sheetId="1" r:id="rId1"/>
    <sheet name="List2" sheetId="2" r:id="rId2"/>
    <sheet name="ESF" sheetId="3" r:id="rId3"/>
    <sheet name="RN-Sk" sheetId="4" r:id="rId4"/>
    <sheet name="ONIV" sheetId="5" r:id="rId5"/>
    <sheet name="vynosy" sheetId="6" r:id="rId6"/>
    <sheet name="HVcelkem" sheetId="7" r:id="rId7"/>
    <sheet name="HV-HC orig" sheetId="8" r:id="rId8"/>
    <sheet name="HV-JC orig" sheetId="9" r:id="rId9"/>
    <sheet name="penFondy" sheetId="10" r:id="rId10"/>
    <sheet name="krytíPF" sheetId="11" r:id="rId11"/>
    <sheet name="F10 po prid" sheetId="12" r:id="rId12"/>
  </sheets>
  <externalReferences>
    <externalReference r:id="rId15"/>
  </externalReferences>
  <definedNames>
    <definedName name="_xlnm.Print_Titles" localSheetId="11">'F10 po prid'!$1:$4</definedName>
  </definedNames>
  <calcPr fullCalcOnLoad="1"/>
</workbook>
</file>

<file path=xl/sharedStrings.xml><?xml version="1.0" encoding="utf-8"?>
<sst xmlns="http://schemas.openxmlformats.org/spreadsheetml/2006/main" count="804" uniqueCount="310">
  <si>
    <t>(bez FKSP - neprovádí se příděl z HV)</t>
  </si>
  <si>
    <t>v tis. Kč</t>
  </si>
  <si>
    <t>Návrh přídělu ze zlepš. HV</t>
  </si>
  <si>
    <t>Fond odměn</t>
  </si>
  <si>
    <t>IPPP Praha</t>
  </si>
  <si>
    <t>US Richtr.boudy</t>
  </si>
  <si>
    <t>NÚOV Praha</t>
  </si>
  <si>
    <t>VÚP Praha</t>
  </si>
  <si>
    <t>NIDV Praha</t>
  </si>
  <si>
    <t>VKC Telč</t>
  </si>
  <si>
    <t xml:space="preserve">FO CELKEM </t>
  </si>
  <si>
    <t>Fond rezervní</t>
  </si>
  <si>
    <t xml:space="preserve">RF CELKEM </t>
  </si>
  <si>
    <t>FRM</t>
  </si>
  <si>
    <t>FRM CELKEM</t>
  </si>
  <si>
    <t xml:space="preserve">CELKEM </t>
  </si>
  <si>
    <t>CELKEM OPŘO</t>
  </si>
  <si>
    <t xml:space="preserve">Krytí peněžních fondů OPŘO </t>
  </si>
  <si>
    <t>Číslo účtu</t>
  </si>
  <si>
    <t>Běžný účet</t>
  </si>
  <si>
    <t>Ostatní běžné účty</t>
  </si>
  <si>
    <t>FKSP</t>
  </si>
  <si>
    <t>FRIM</t>
  </si>
  <si>
    <t>Peněžní fondy za OPŘO celkem</t>
  </si>
  <si>
    <t>Peněžní fondy OPŘO - tvorba a čerpání</t>
  </si>
  <si>
    <t>Čerpání</t>
  </si>
  <si>
    <t>v  tis. Kč</t>
  </si>
  <si>
    <t>Účet</t>
  </si>
  <si>
    <t>Název ukazatele</t>
  </si>
  <si>
    <t>Řádek</t>
  </si>
  <si>
    <t>US RB</t>
  </si>
  <si>
    <t>VKC</t>
  </si>
  <si>
    <t>501</t>
  </si>
  <si>
    <t>Spotřeba materiálu</t>
  </si>
  <si>
    <t>502</t>
  </si>
  <si>
    <t>Spotřeba energie</t>
  </si>
  <si>
    <t>503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</si>
  <si>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</si>
  <si>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</si>
  <si>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</si>
  <si>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</si>
  <si>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</si>
  <si>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</si>
  <si>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</si>
  <si>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</si>
  <si>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</si>
  <si>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</si>
  <si>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</si>
  <si>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</si>
  <si>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</si>
  <si>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</si>
  <si>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</si>
  <si>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527</t>
  </si>
  <si>
    <t>Zákonné sociální náklady</t>
  </si>
  <si>
    <t>528</t>
  </si>
  <si>
    <t>531</t>
  </si>
  <si>
    <t>Daň silniční</t>
  </si>
  <si>
    <t>532</t>
  </si>
  <si>
    <t>Daň z nemovitostí</t>
  </si>
  <si>
    <t>538</t>
  </si>
  <si>
    <t>541</t>
  </si>
  <si>
    <t>Smluvní pokuty a úroky z prodlení</t>
  </si>
  <si>
    <t>542</t>
  </si>
  <si>
    <t>543</t>
  </si>
  <si>
    <t>544</t>
  </si>
  <si>
    <t>Úroky</t>
  </si>
  <si>
    <t>Kurzové ztráty</t>
  </si>
  <si>
    <t>Dary</t>
  </si>
  <si>
    <t>Manka a škody</t>
  </si>
  <si>
    <t>551</t>
  </si>
  <si>
    <t>552</t>
  </si>
  <si>
    <t>Prodaný materiál</t>
  </si>
  <si>
    <t>601</t>
  </si>
  <si>
    <t>602</t>
  </si>
  <si>
    <t>604</t>
  </si>
  <si>
    <t>611</t>
  </si>
  <si>
    <t>Změna stavu zásob nedokončené výroby</t>
  </si>
  <si>
    <t>612</t>
  </si>
  <si>
    <t>Změna stavu zásob polotovarů</t>
  </si>
  <si>
    <t>613</t>
  </si>
  <si>
    <t>Změna stavu zásob výrobků</t>
  </si>
  <si>
    <t>614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</si>
  <si>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</si>
  <si>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</si>
  <si>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</si>
  <si>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</si>
  <si>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</si>
  <si>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</si>
  <si>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</si>
  <si>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>Aktivace dlouhodobého hmotného majetku</t>
  </si>
  <si>
    <t>641</t>
  </si>
  <si>
    <t>642</t>
  </si>
  <si>
    <t>643</t>
  </si>
  <si>
    <t>644</t>
  </si>
  <si>
    <t>645</t>
  </si>
  <si>
    <t>Kurzové zisky</t>
  </si>
  <si>
    <t>591</t>
  </si>
  <si>
    <t>Daň z příjmů</t>
  </si>
  <si>
    <t>595</t>
  </si>
  <si>
    <t>Dodatečné odvody daně z příjmů</t>
  </si>
  <si>
    <t>IPPP</t>
  </si>
  <si>
    <t>NIDV</t>
  </si>
  <si>
    <t>Celkem</t>
  </si>
  <si>
    <t>OPŘO</t>
  </si>
  <si>
    <t>HV hlavní činnosti</t>
  </si>
  <si>
    <t>HV jiné činnosti</t>
  </si>
  <si>
    <t>HV celkem</t>
  </si>
  <si>
    <t>HV celkem bez daně</t>
  </si>
  <si>
    <t>z toho daň</t>
  </si>
  <si>
    <t>HV</t>
  </si>
  <si>
    <t>US Richtrovy boudy</t>
  </si>
  <si>
    <t>Celkem OPŘO</t>
  </si>
  <si>
    <t>Tabulka č. 10</t>
  </si>
  <si>
    <t>z vlastní činnosti</t>
  </si>
  <si>
    <t xml:space="preserve">ostatní </t>
  </si>
  <si>
    <t>Převody z vlastních fondů</t>
  </si>
  <si>
    <t>celkem</t>
  </si>
  <si>
    <t>rozpočet</t>
  </si>
  <si>
    <t>skutečnost</t>
  </si>
  <si>
    <t>Tabulka č. 9</t>
  </si>
  <si>
    <t>Rozpočet zákonných odvodů</t>
  </si>
  <si>
    <t xml:space="preserve">Skutečnost </t>
  </si>
  <si>
    <t>Rozdíl            + úspora        - překročení</t>
  </si>
  <si>
    <t>Procento</t>
  </si>
  <si>
    <t>Rozpočet FKSP</t>
  </si>
  <si>
    <t>Rozdíl         + úspora        - překročení</t>
  </si>
  <si>
    <t>Rozpočet OBV</t>
  </si>
  <si>
    <t>Rozpočet ONIV celkem</t>
  </si>
  <si>
    <t>sl. 1</t>
  </si>
  <si>
    <t>sl. 2</t>
  </si>
  <si>
    <t>sl. 3</t>
  </si>
  <si>
    <t>sl.4</t>
  </si>
  <si>
    <t>CELKEM OPŘO - PO</t>
  </si>
  <si>
    <t>Tabulka č. 3</t>
  </si>
  <si>
    <t>Skutečnost (V + N)</t>
  </si>
  <si>
    <t>Tabulka č. 2</t>
  </si>
  <si>
    <t xml:space="preserve">PLATY </t>
  </si>
  <si>
    <t xml:space="preserve">OON </t>
  </si>
  <si>
    <t>MP celkem</t>
  </si>
  <si>
    <t>POJ.</t>
  </si>
  <si>
    <t xml:space="preserve">FKSP </t>
  </si>
  <si>
    <t>OBV provoz</t>
  </si>
  <si>
    <t>OBV celkem</t>
  </si>
  <si>
    <t>ONIV celkem</t>
  </si>
  <si>
    <t>NIV příspěvek PO</t>
  </si>
  <si>
    <t>Výnosy</t>
  </si>
  <si>
    <t>CELKEM VÝDAJE</t>
  </si>
  <si>
    <t>Počet zam.</t>
  </si>
  <si>
    <t>Paragraf</t>
  </si>
  <si>
    <t>Popis</t>
  </si>
  <si>
    <t>IPPP CELKEM</t>
  </si>
  <si>
    <t>3299 - 38</t>
  </si>
  <si>
    <t>RB-KMENOVÁ ČINNOST</t>
  </si>
  <si>
    <t>3299 - 44</t>
  </si>
  <si>
    <t>NÚOV-KMENOVÁ ČINNOST</t>
  </si>
  <si>
    <t>3299 - 45</t>
  </si>
  <si>
    <t>NÚOV-PROJEKTY</t>
  </si>
  <si>
    <t>3299 - AC</t>
  </si>
  <si>
    <t>NÚOV-OST.MIMO PROJEKTY A KMEN.ČINNOST</t>
  </si>
  <si>
    <t>NÚOV CELKEM</t>
  </si>
  <si>
    <t>3299 - 47</t>
  </si>
  <si>
    <t>VÚP-KMENOVÁ ČINNOST</t>
  </si>
  <si>
    <t>3299 - 48</t>
  </si>
  <si>
    <t>VÚP-PROJEKTY</t>
  </si>
  <si>
    <t>3299 - AD</t>
  </si>
  <si>
    <t>VÚP-OST.MIMO PROJEKTY A KMEN.ČINNOST</t>
  </si>
  <si>
    <t>VÚP CELKEM</t>
  </si>
  <si>
    <t>3299 - 59</t>
  </si>
  <si>
    <t>NIVD PRAHA-KMENOVÁ ČINNOST</t>
  </si>
  <si>
    <t>NIDV CELKEM</t>
  </si>
  <si>
    <t>3299 - 56</t>
  </si>
  <si>
    <t>VKC-KMENOVÁ ČINNOST</t>
  </si>
  <si>
    <t>VKC CELKEM</t>
  </si>
  <si>
    <t>CELKEM</t>
  </si>
  <si>
    <t>NUOV</t>
  </si>
  <si>
    <t>VUP</t>
  </si>
  <si>
    <t>OBV ISPROFIN</t>
  </si>
  <si>
    <t>Tabulka č. 7</t>
  </si>
  <si>
    <t>Tabulka č. 8</t>
  </si>
  <si>
    <t>3146 - 02</t>
  </si>
  <si>
    <t>IPPP-KMENOVÁ ČINNOST</t>
  </si>
  <si>
    <t>3146 - 04</t>
  </si>
  <si>
    <t>IPPP-OST.VÝCH.ZAŘ. PROJEKTY</t>
  </si>
  <si>
    <t>3299 - CU</t>
  </si>
  <si>
    <t>IPPP - mezinárodní konference a semináře</t>
  </si>
  <si>
    <t>6221 - 04</t>
  </si>
  <si>
    <t>3299 - 60</t>
  </si>
  <si>
    <t>NIVD PRAHA-PROJEKTY</t>
  </si>
  <si>
    <t>ESF a TP CELKEM IPPP</t>
  </si>
  <si>
    <t>ESF a TP CELKEM NÚOV</t>
  </si>
  <si>
    <t>ESF a TP CELKEM VÚP</t>
  </si>
  <si>
    <t>ESF a TP CELKEM NIDV</t>
  </si>
  <si>
    <t>ESF a TP CELKEM VKC</t>
  </si>
  <si>
    <t>Tabulka č. 1</t>
  </si>
  <si>
    <t>Tvorba</t>
  </si>
  <si>
    <t>Tabulka č. 4</t>
  </si>
  <si>
    <t>Tabulka č. 5</t>
  </si>
  <si>
    <t>Tabulka č. 6</t>
  </si>
  <si>
    <t>Tabulka č.11</t>
  </si>
  <si>
    <t>3299 - E5</t>
  </si>
  <si>
    <t>IPPP - rozvojové programy sk.6</t>
  </si>
  <si>
    <t>VÚP integrace cizinců</t>
  </si>
  <si>
    <t>ESF a TP CELKEM US RB</t>
  </si>
  <si>
    <t>US RB CELKEM</t>
  </si>
  <si>
    <t>rok 2009</t>
  </si>
  <si>
    <t>Stav k 1.1.2009</t>
  </si>
  <si>
    <t>Peněžní fondy organizací po přídělu ze ZVH v r. 2010</t>
  </si>
  <si>
    <t>Běžný účet FKSP</t>
  </si>
  <si>
    <t>abs. rozdíl</t>
  </si>
  <si>
    <t>Porovnání rozpočtu celkových nákladů a skutečnosti OPŘO za rok 2010</t>
  </si>
  <si>
    <t>Upravený rozpočet OPŘO na rok 2010 včetně nároků</t>
  </si>
  <si>
    <t>Celkový upravený rozpočet na projekty spolufinancované EU OPŘO na rok 2010</t>
  </si>
  <si>
    <t>Porovnání rozpočtu ONIV celkem a skutečnosti OPŘO za rok 2010</t>
  </si>
  <si>
    <t>Porovnání rozpočtovaných výnosů se skutečností za rok 2010</t>
  </si>
  <si>
    <t>Přehled o hospodářských výsledcích OPŘO celkem za rok 2010</t>
  </si>
  <si>
    <t>Výsledek hospodaření OPŘO za rok 2010 - hlavní činnost</t>
  </si>
  <si>
    <t>Výsledek hospodaření OPŘO za rok 2010 - jiná činnost</t>
  </si>
  <si>
    <t>Stav k 1.1.2010</t>
  </si>
  <si>
    <t>Stav k 31.12.2010</t>
  </si>
  <si>
    <t>Změna stavu za rok 2010 (4-1)</t>
  </si>
  <si>
    <t>Spotřeba jiných neskladovatelných dodávek</t>
  </si>
  <si>
    <t>Jiné sociální pojištění</t>
  </si>
  <si>
    <t>Jiné sociální náklady</t>
  </si>
  <si>
    <t>Jiné daně a poplatky</t>
  </si>
  <si>
    <t>Jiné pokuty a penále</t>
  </si>
  <si>
    <t>Tvorba fondů</t>
  </si>
  <si>
    <t>Odpisy dlouhodobého majetku</t>
  </si>
  <si>
    <t>Zůstatková cena prodaného dlouhodobého nehm. majetku</t>
  </si>
  <si>
    <t>Zůstatková cena prodaného dlouhodobého hm. majetku</t>
  </si>
  <si>
    <t>Prodané pozemnky</t>
  </si>
  <si>
    <t>Tvorba a zúčtování rezerv</t>
  </si>
  <si>
    <t>Tvorba a zúčtování opravných položek</t>
  </si>
  <si>
    <t>Náklady z odespaných pohledávek</t>
  </si>
  <si>
    <t>Ostatní náklady z činnosti</t>
  </si>
  <si>
    <t>Náklady z přecenění reálnou hodnotou</t>
  </si>
  <si>
    <t>Ostatní finanční náklady</t>
  </si>
  <si>
    <t>Náklady na nároky na prostředky SR</t>
  </si>
  <si>
    <t>Náklady na nároky na prostředky rozp. USC</t>
  </si>
  <si>
    <t>Náklady na ostatní nároky</t>
  </si>
  <si>
    <t>Účtová třída 5 celkem                                            (řádek 1 až 37)</t>
  </si>
  <si>
    <t>Výnosy z prodeje vlastních výrobků</t>
  </si>
  <si>
    <t>Výnosy z prodeje vlastních služeb</t>
  </si>
  <si>
    <t>Výnosy z pronájmu</t>
  </si>
  <si>
    <t>Výnosy z prodaného zboží</t>
  </si>
  <si>
    <t>Jiné výnosy z vlastních výkonů</t>
  </si>
  <si>
    <t>Změna stavu ostatních zásob</t>
  </si>
  <si>
    <t>Výnosy z odepsaných pohledávek</t>
  </si>
  <si>
    <t>Výnosy z prodeje materiálu</t>
  </si>
  <si>
    <t>Výnosy z prodeje dlouhodobého nehm. majetku</t>
  </si>
  <si>
    <t>Výnosy z prodeje dlouhodobého hm. majetku kromě pozemků</t>
  </si>
  <si>
    <t>Výnosy z prodeje pozemků</t>
  </si>
  <si>
    <t>Ostatní výnosy z činností</t>
  </si>
  <si>
    <t>Výnosy z přecenění reálnou hodnotou</t>
  </si>
  <si>
    <t>Ostatní finanční výnosy</t>
  </si>
  <si>
    <t>Výnosy z nároků na prostředky SR</t>
  </si>
  <si>
    <t>Výnosy z nároků na prostředky z rozpočtu USC</t>
  </si>
  <si>
    <t>Výnosy z nároků na prostředky státních fondů</t>
  </si>
  <si>
    <t>Výnosy z ostatních nároků</t>
  </si>
  <si>
    <t>Účtová třída 6 celkem                                          (řádek 39 až 68)</t>
  </si>
  <si>
    <t>Výsledek hospodaření před zdaněním                       (řádek 70-38)</t>
  </si>
  <si>
    <t xml:space="preserve">Výsledek hospodaření po zdanění                        </t>
  </si>
  <si>
    <t>Rozdíl          úspora         + překročení  - (ke sl. 2)</t>
  </si>
  <si>
    <t>Čerpání fondů</t>
  </si>
  <si>
    <t>5331   (5336)                 01</t>
  </si>
  <si>
    <t>5331 (5336)                   02</t>
  </si>
  <si>
    <t>5331    (5336)                03</t>
  </si>
  <si>
    <t>5331    (5336)                04</t>
  </si>
  <si>
    <t>5331  (5336)                  05</t>
  </si>
  <si>
    <t>5331 (5336)</t>
  </si>
  <si>
    <t>5339 - 01</t>
  </si>
  <si>
    <t>IPPP-KRIMINALITA</t>
  </si>
  <si>
    <t>5336                    03</t>
  </si>
  <si>
    <t>5336                    04</t>
  </si>
  <si>
    <t>platy</t>
  </si>
  <si>
    <t>OON</t>
  </si>
  <si>
    <t xml:space="preserve">odvody </t>
  </si>
  <si>
    <t>OBV</t>
  </si>
  <si>
    <t>KČ + projekty</t>
  </si>
  <si>
    <t>ESF - rozpočet</t>
  </si>
  <si>
    <t>ESF - nároky</t>
  </si>
  <si>
    <t>C e l k e m</t>
  </si>
  <si>
    <t>banka celkem</t>
  </si>
  <si>
    <t>v tom SR</t>
  </si>
  <si>
    <t xml:space="preserve">             ESF</t>
  </si>
  <si>
    <t>NÚOV</t>
  </si>
  <si>
    <t>VÚP</t>
  </si>
  <si>
    <t xml:space="preserve"> </t>
  </si>
  <si>
    <t>5336                   01</t>
  </si>
  <si>
    <t>5336      (5331)              02</t>
  </si>
  <si>
    <t>5336         (5331)           05</t>
  </si>
  <si>
    <t>bez převedených ESF</t>
  </si>
  <si>
    <t>Celkem bez RF ESF</t>
  </si>
  <si>
    <t>rok 2010</t>
  </si>
  <si>
    <t>odv.</t>
  </si>
  <si>
    <t xml:space="preserve">Upravený rozpočet 2010 - v členění na rozpis rozpočtu v databázi ISROS a skutečně přidělené finanční prostředky na základě limitu v ČNB </t>
  </si>
  <si>
    <t>Tab. č. 1 a</t>
  </si>
  <si>
    <t>Odvody celkem</t>
  </si>
  <si>
    <t>rozdíl -přesun do nároků v r. 2011</t>
  </si>
  <si>
    <t>RB</t>
  </si>
  <si>
    <t>Celková rekapitulace</t>
  </si>
  <si>
    <t>Rozpočet (kmenová činnost, rez. projekty a účel. vym.úkoly)</t>
  </si>
  <si>
    <t>Limit v ČNB</t>
  </si>
  <si>
    <t xml:space="preserve">    v tom:    SR</t>
  </si>
  <si>
    <t xml:space="preserve">                 ESF</t>
  </si>
  <si>
    <t>Rozpočet nákladů celkem *)</t>
  </si>
  <si>
    <t>*) rozpočet nákladů = limit v ČNB navýšený o rozpočtované výnosy</t>
  </si>
  <si>
    <t>VKC Praha</t>
  </si>
  <si>
    <t>Stav po přídělu v r. 2011</t>
  </si>
  <si>
    <t>Z toho na provoz</t>
  </si>
  <si>
    <t>Z toho na ESF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</si>
</sst>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/yy"/>
    <numFmt numFmtId="166" formatCode="d/m/yy\ h:mm"/>
    <numFmt numFmtId="167" formatCode="d/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0.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dd/mm/yy"/>
    <numFmt numFmtId="181" formatCode="000\ 00"/>
    <numFmt numFmtId="182" formatCode="0.0000000"/>
    <numFmt numFmtId="183" formatCode="0_ ;[Red]\-0\ "/>
    <numFmt numFmtId="184" formatCode="#,##0_ ;[Red]\-#,##0\ "/>
    <numFmt numFmtId="185" formatCode="[$€-2]\ #\ ##,000_);[Red]\([$€-2]\ #\ ##,000\)"/>
  </numFmts>
  <fonts count="35">
    <font>
      <sz val="10"/>
      <name val="Arial"/>
      <family val="0"/>
    </font>
    <font>
      <u val="single"/>
      <sz val="7.5"/>
      <color indexed="12"/>
      <name val="Arial CE"/>
      <family val="0"/>
    </font>
    <font>
      <sz val="10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2"/>
      <name val="Arial CE"/>
      <family val="0"/>
    </font>
    <font>
      <sz val="12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sz val="8"/>
      <name val="Arial"/>
      <family val="0"/>
    </font>
    <font>
      <i/>
      <sz val="10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47">
      <alignment/>
      <protection/>
    </xf>
    <xf numFmtId="0" fontId="4" fillId="0" borderId="0" xfId="49" applyFont="1">
      <alignment/>
      <protection/>
    </xf>
    <xf numFmtId="0" fontId="4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0" xfId="47" applyFont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>
      <alignment/>
      <protection/>
    </xf>
    <xf numFmtId="4" fontId="2" fillId="0" borderId="17" xfId="47" applyNumberFormat="1" applyBorder="1">
      <alignment/>
      <protection/>
    </xf>
    <xf numFmtId="4" fontId="2" fillId="0" borderId="18" xfId="47" applyNumberFormat="1" applyBorder="1">
      <alignment/>
      <protection/>
    </xf>
    <xf numFmtId="2" fontId="2" fillId="0" borderId="0" xfId="47" applyNumberFormat="1">
      <alignment/>
      <protection/>
    </xf>
    <xf numFmtId="0" fontId="5" fillId="0" borderId="19" xfId="47" applyFont="1" applyBorder="1">
      <alignment/>
      <protection/>
    </xf>
    <xf numFmtId="4" fontId="2" fillId="0" borderId="20" xfId="47" applyNumberFormat="1" applyBorder="1">
      <alignment/>
      <protection/>
    </xf>
    <xf numFmtId="4" fontId="2" fillId="0" borderId="21" xfId="47" applyNumberFormat="1" applyBorder="1">
      <alignment/>
      <protection/>
    </xf>
    <xf numFmtId="0" fontId="5" fillId="0" borderId="22" xfId="47" applyFont="1" applyBorder="1">
      <alignment/>
      <protection/>
    </xf>
    <xf numFmtId="4" fontId="2" fillId="0" borderId="23" xfId="47" applyNumberFormat="1" applyBorder="1">
      <alignment/>
      <protection/>
    </xf>
    <xf numFmtId="0" fontId="5" fillId="0" borderId="10" xfId="47" applyFont="1" applyBorder="1">
      <alignment/>
      <protection/>
    </xf>
    <xf numFmtId="2" fontId="5" fillId="0" borderId="10" xfId="47" applyNumberFormat="1" applyFont="1" applyBorder="1" applyAlignment="1">
      <alignment horizontal="right"/>
      <protection/>
    </xf>
    <xf numFmtId="4" fontId="5" fillId="0" borderId="10" xfId="47" applyNumberFormat="1" applyFont="1" applyBorder="1">
      <alignment/>
      <protection/>
    </xf>
    <xf numFmtId="0" fontId="5" fillId="0" borderId="10" xfId="47" applyFont="1" applyBorder="1" applyAlignment="1">
      <alignment horizontal="center" vertical="center" wrapText="1"/>
      <protection/>
    </xf>
    <xf numFmtId="4" fontId="5" fillId="0" borderId="10" xfId="47" applyNumberFormat="1" applyFont="1" applyBorder="1" applyAlignment="1">
      <alignment horizontal="right"/>
      <protection/>
    </xf>
    <xf numFmtId="4" fontId="2" fillId="0" borderId="21" xfId="47" applyNumberFormat="1" applyFont="1" applyBorder="1">
      <alignment/>
      <protection/>
    </xf>
    <xf numFmtId="0" fontId="5" fillId="0" borderId="0" xfId="47" applyFont="1" applyBorder="1">
      <alignment/>
      <protection/>
    </xf>
    <xf numFmtId="4" fontId="5" fillId="0" borderId="0" xfId="47" applyNumberFormat="1" applyFont="1" applyBorder="1" applyAlignment="1">
      <alignment horizontal="right"/>
      <protection/>
    </xf>
    <xf numFmtId="4" fontId="5" fillId="0" borderId="0" xfId="47" applyNumberFormat="1" applyFont="1" applyBorder="1">
      <alignment/>
      <protection/>
    </xf>
    <xf numFmtId="0" fontId="5" fillId="0" borderId="10" xfId="47" applyFont="1" applyBorder="1" applyAlignment="1">
      <alignment horizontal="center"/>
      <protection/>
    </xf>
    <xf numFmtId="4" fontId="2" fillId="0" borderId="24" xfId="47" applyNumberFormat="1" applyBorder="1" applyAlignment="1">
      <alignment horizontal="right"/>
      <protection/>
    </xf>
    <xf numFmtId="4" fontId="2" fillId="0" borderId="17" xfId="47" applyNumberFormat="1" applyFont="1" applyBorder="1">
      <alignment/>
      <protection/>
    </xf>
    <xf numFmtId="4" fontId="2" fillId="0" borderId="18" xfId="47" applyNumberFormat="1" applyFont="1" applyBorder="1">
      <alignment/>
      <protection/>
    </xf>
    <xf numFmtId="4" fontId="2" fillId="0" borderId="25" xfId="47" applyNumberFormat="1" applyBorder="1" applyAlignment="1">
      <alignment horizontal="right"/>
      <protection/>
    </xf>
    <xf numFmtId="4" fontId="2" fillId="0" borderId="20" xfId="47" applyNumberFormat="1" applyFont="1" applyBorder="1">
      <alignment/>
      <protection/>
    </xf>
    <xf numFmtId="4" fontId="5" fillId="0" borderId="26" xfId="47" applyNumberFormat="1" applyFont="1" applyBorder="1" applyAlignment="1">
      <alignment horizontal="right"/>
      <protection/>
    </xf>
    <xf numFmtId="0" fontId="5" fillId="0" borderId="0" xfId="50" applyFont="1" applyAlignment="1">
      <alignment horizontal="right"/>
      <protection/>
    </xf>
    <xf numFmtId="0" fontId="2" fillId="0" borderId="14" xfId="47" applyBorder="1">
      <alignment/>
      <protection/>
    </xf>
    <xf numFmtId="0" fontId="2" fillId="0" borderId="27" xfId="47" applyBorder="1">
      <alignment/>
      <protection/>
    </xf>
    <xf numFmtId="0" fontId="2" fillId="0" borderId="28" xfId="47" applyBorder="1">
      <alignment/>
      <protection/>
    </xf>
    <xf numFmtId="0" fontId="5" fillId="0" borderId="11" xfId="47" applyFont="1" applyBorder="1">
      <alignment/>
      <protection/>
    </xf>
    <xf numFmtId="0" fontId="2" fillId="0" borderId="26" xfId="47" applyBorder="1">
      <alignment/>
      <protection/>
    </xf>
    <xf numFmtId="0" fontId="5" fillId="0" borderId="29" xfId="47" applyFont="1" applyBorder="1" applyAlignment="1">
      <alignment horizontal="center" vertical="center" wrapText="1"/>
      <protection/>
    </xf>
    <xf numFmtId="0" fontId="5" fillId="0" borderId="30" xfId="47" applyFont="1" applyBorder="1" applyAlignment="1">
      <alignment horizontal="center" vertical="center" wrapText="1"/>
      <protection/>
    </xf>
    <xf numFmtId="0" fontId="2" fillId="0" borderId="12" xfId="47" applyBorder="1" applyAlignment="1">
      <alignment horizontal="center" vertical="center" wrapText="1"/>
      <protection/>
    </xf>
    <xf numFmtId="0" fontId="2" fillId="0" borderId="0" xfId="47" applyBorder="1">
      <alignment/>
      <protection/>
    </xf>
    <xf numFmtId="0" fontId="2" fillId="0" borderId="31" xfId="47" applyBorder="1" applyAlignment="1">
      <alignment horizontal="center"/>
      <protection/>
    </xf>
    <xf numFmtId="4" fontId="2" fillId="0" borderId="0" xfId="47" applyNumberFormat="1">
      <alignment/>
      <protection/>
    </xf>
    <xf numFmtId="0" fontId="2" fillId="0" borderId="32" xfId="47" applyBorder="1" applyAlignment="1">
      <alignment horizontal="center"/>
      <protection/>
    </xf>
    <xf numFmtId="0" fontId="2" fillId="0" borderId="33" xfId="47" applyBorder="1" applyAlignment="1">
      <alignment horizontal="center"/>
      <protection/>
    </xf>
    <xf numFmtId="0" fontId="5" fillId="24" borderId="19" xfId="47" applyFont="1" applyFill="1" applyBorder="1">
      <alignment/>
      <protection/>
    </xf>
    <xf numFmtId="0" fontId="2" fillId="24" borderId="33" xfId="47" applyFill="1" applyBorder="1" applyAlignment="1">
      <alignment horizontal="center"/>
      <protection/>
    </xf>
    <xf numFmtId="4" fontId="2" fillId="24" borderId="20" xfId="47" applyNumberFormat="1" applyFill="1" applyBorder="1">
      <alignment/>
      <protection/>
    </xf>
    <xf numFmtId="4" fontId="2" fillId="24" borderId="34" xfId="47" applyNumberFormat="1" applyFill="1" applyBorder="1">
      <alignment/>
      <protection/>
    </xf>
    <xf numFmtId="4" fontId="2" fillId="24" borderId="23" xfId="47" applyNumberFormat="1" applyFill="1" applyBorder="1">
      <alignment/>
      <protection/>
    </xf>
    <xf numFmtId="0" fontId="2" fillId="24" borderId="0" xfId="47" applyFill="1">
      <alignment/>
      <protection/>
    </xf>
    <xf numFmtId="4" fontId="5" fillId="0" borderId="28" xfId="47" applyNumberFormat="1" applyFont="1" applyBorder="1">
      <alignment/>
      <protection/>
    </xf>
    <xf numFmtId="0" fontId="2" fillId="0" borderId="17" xfId="47" applyBorder="1" applyAlignment="1">
      <alignment horizontal="center"/>
      <protection/>
    </xf>
    <xf numFmtId="0" fontId="2" fillId="0" borderId="20" xfId="47" applyBorder="1" applyAlignment="1">
      <alignment horizontal="center"/>
      <protection/>
    </xf>
    <xf numFmtId="0" fontId="2" fillId="24" borderId="20" xfId="47" applyFill="1" applyBorder="1" applyAlignment="1">
      <alignment horizontal="center"/>
      <protection/>
    </xf>
    <xf numFmtId="0" fontId="2" fillId="24" borderId="34" xfId="47" applyFill="1" applyBorder="1" applyAlignment="1">
      <alignment horizontal="center"/>
      <protection/>
    </xf>
    <xf numFmtId="0" fontId="2" fillId="0" borderId="14" xfId="47" applyBorder="1" applyAlignment="1">
      <alignment horizontal="center" vertical="center" wrapText="1"/>
      <protection/>
    </xf>
    <xf numFmtId="0" fontId="5" fillId="0" borderId="35" xfId="47" applyFont="1" applyBorder="1">
      <alignment/>
      <protection/>
    </xf>
    <xf numFmtId="0" fontId="2" fillId="0" borderId="36" xfId="47" applyBorder="1">
      <alignment/>
      <protection/>
    </xf>
    <xf numFmtId="4" fontId="5" fillId="0" borderId="16" xfId="47" applyNumberFormat="1" applyFont="1" applyBorder="1">
      <alignment/>
      <protection/>
    </xf>
    <xf numFmtId="3" fontId="5" fillId="0" borderId="16" xfId="47" applyNumberFormat="1" applyFont="1" applyBorder="1">
      <alignment/>
      <protection/>
    </xf>
    <xf numFmtId="4" fontId="5" fillId="0" borderId="35" xfId="47" applyNumberFormat="1" applyFont="1" applyBorder="1">
      <alignment/>
      <protection/>
    </xf>
    <xf numFmtId="0" fontId="5" fillId="0" borderId="37" xfId="47" applyFont="1" applyBorder="1">
      <alignment/>
      <protection/>
    </xf>
    <xf numFmtId="0" fontId="2" fillId="0" borderId="25" xfId="47" applyBorder="1">
      <alignment/>
      <protection/>
    </xf>
    <xf numFmtId="3" fontId="5" fillId="0" borderId="19" xfId="47" applyNumberFormat="1" applyFont="1" applyBorder="1">
      <alignment/>
      <protection/>
    </xf>
    <xf numFmtId="4" fontId="5" fillId="0" borderId="19" xfId="47" applyNumberFormat="1" applyFont="1" applyBorder="1">
      <alignment/>
      <protection/>
    </xf>
    <xf numFmtId="4" fontId="5" fillId="0" borderId="37" xfId="47" applyNumberFormat="1" applyFont="1" applyBorder="1">
      <alignment/>
      <protection/>
    </xf>
    <xf numFmtId="0" fontId="5" fillId="0" borderId="38" xfId="47" applyFont="1" applyBorder="1">
      <alignment/>
      <protection/>
    </xf>
    <xf numFmtId="0" fontId="2" fillId="0" borderId="37" xfId="47" applyBorder="1">
      <alignment/>
      <protection/>
    </xf>
    <xf numFmtId="0" fontId="2" fillId="0" borderId="39" xfId="47" applyBorder="1">
      <alignment/>
      <protection/>
    </xf>
    <xf numFmtId="0" fontId="2" fillId="0" borderId="15" xfId="47" applyBorder="1">
      <alignment/>
      <protection/>
    </xf>
    <xf numFmtId="0" fontId="5" fillId="0" borderId="28" xfId="47" applyFont="1" applyBorder="1" applyAlignment="1">
      <alignment horizontal="center" vertical="center" wrapText="1"/>
      <protection/>
    </xf>
    <xf numFmtId="0" fontId="2" fillId="0" borderId="40" xfId="47" applyBorder="1">
      <alignment/>
      <protection/>
    </xf>
    <xf numFmtId="0" fontId="2" fillId="0" borderId="41" xfId="47" applyBorder="1">
      <alignment/>
      <protection/>
    </xf>
    <xf numFmtId="0" fontId="5" fillId="0" borderId="27" xfId="47" applyFont="1" applyBorder="1" applyAlignment="1">
      <alignment horizontal="center"/>
      <protection/>
    </xf>
    <xf numFmtId="4" fontId="2" fillId="0" borderId="36" xfId="47" applyNumberFormat="1" applyBorder="1">
      <alignment/>
      <protection/>
    </xf>
    <xf numFmtId="4" fontId="2" fillId="24" borderId="25" xfId="47" applyNumberFormat="1" applyFill="1" applyBorder="1">
      <alignment/>
      <protection/>
    </xf>
    <xf numFmtId="4" fontId="2" fillId="24" borderId="21" xfId="47" applyNumberFormat="1" applyFill="1" applyBorder="1">
      <alignment/>
      <protection/>
    </xf>
    <xf numFmtId="0" fontId="5" fillId="24" borderId="10" xfId="47" applyFont="1" applyFill="1" applyBorder="1" applyAlignment="1">
      <alignment horizontal="center"/>
      <protection/>
    </xf>
    <xf numFmtId="4" fontId="5" fillId="24" borderId="26" xfId="47" applyNumberFormat="1" applyFont="1" applyFill="1" applyBorder="1">
      <alignment/>
      <protection/>
    </xf>
    <xf numFmtId="4" fontId="5" fillId="24" borderId="10" xfId="47" applyNumberFormat="1" applyFont="1" applyFill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quotePrefix="1">
      <alignment/>
      <protection/>
    </xf>
    <xf numFmtId="0" fontId="8" fillId="0" borderId="0" xfId="48" applyFont="1">
      <alignment/>
      <protection/>
    </xf>
    <xf numFmtId="14" fontId="4" fillId="0" borderId="0" xfId="48" applyNumberFormat="1" applyFont="1" applyFill="1" quotePrefix="1">
      <alignment/>
      <protection/>
    </xf>
    <xf numFmtId="0" fontId="2" fillId="0" borderId="0" xfId="48">
      <alignment/>
      <protection/>
    </xf>
    <xf numFmtId="0" fontId="4" fillId="0" borderId="0" xfId="52" applyFont="1">
      <alignment/>
      <protection/>
    </xf>
    <xf numFmtId="14" fontId="4" fillId="0" borderId="0" xfId="48" applyNumberFormat="1" applyFont="1" quotePrefix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right"/>
      <protection/>
    </xf>
    <xf numFmtId="0" fontId="0" fillId="0" borderId="0" xfId="51">
      <alignment/>
      <protection/>
    </xf>
    <xf numFmtId="0" fontId="4" fillId="0" borderId="0" xfId="51" applyFont="1">
      <alignment/>
      <protection/>
    </xf>
    <xf numFmtId="0" fontId="2" fillId="0" borderId="0" xfId="52" applyFont="1" applyAlignment="1">
      <alignment horizontal="right"/>
      <protection/>
    </xf>
    <xf numFmtId="0" fontId="6" fillId="0" borderId="0" xfId="0" applyFont="1" applyAlignment="1">
      <alignment/>
    </xf>
    <xf numFmtId="0" fontId="0" fillId="0" borderId="42" xfId="0" applyBorder="1" applyAlignment="1">
      <alignment horizontal="center" wrapText="1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3" xfId="0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24" borderId="47" xfId="0" applyFill="1" applyBorder="1" applyAlignment="1">
      <alignment/>
    </xf>
    <xf numFmtId="3" fontId="0" fillId="24" borderId="24" xfId="0" applyNumberFormat="1" applyFill="1" applyBorder="1" applyAlignment="1">
      <alignment/>
    </xf>
    <xf numFmtId="3" fontId="0" fillId="24" borderId="42" xfId="0" applyNumberFormat="1" applyFill="1" applyBorder="1" applyAlignment="1">
      <alignment/>
    </xf>
    <xf numFmtId="3" fontId="0" fillId="24" borderId="48" xfId="0" applyNumberFormat="1" applyFill="1" applyBorder="1" applyAlignment="1">
      <alignment/>
    </xf>
    <xf numFmtId="3" fontId="0" fillId="24" borderId="49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37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24" borderId="19" xfId="0" applyNumberFormat="1" applyFill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6" fillId="0" borderId="50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24" borderId="43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0" fontId="2" fillId="0" borderId="0" xfId="50">
      <alignment/>
      <protection/>
    </xf>
    <xf numFmtId="0" fontId="13" fillId="0" borderId="0" xfId="50" applyFont="1">
      <alignment/>
      <protection/>
    </xf>
    <xf numFmtId="0" fontId="4" fillId="0" borderId="0" xfId="49" applyFont="1" applyAlignment="1">
      <alignment horizontal="right"/>
      <protection/>
    </xf>
    <xf numFmtId="0" fontId="4" fillId="0" borderId="0" xfId="50" applyFont="1">
      <alignment/>
      <protection/>
    </xf>
    <xf numFmtId="0" fontId="2" fillId="0" borderId="0" xfId="50" applyAlignment="1">
      <alignment horizontal="right"/>
      <protection/>
    </xf>
    <xf numFmtId="0" fontId="2" fillId="0" borderId="0" xfId="50" applyFont="1">
      <alignment/>
      <protection/>
    </xf>
    <xf numFmtId="0" fontId="4" fillId="0" borderId="10" xfId="50" applyFont="1" applyBorder="1" applyAlignment="1">
      <alignment horizontal="center" vertical="center" wrapText="1"/>
      <protection/>
    </xf>
    <xf numFmtId="0" fontId="5" fillId="0" borderId="28" xfId="50" applyFont="1" applyBorder="1" applyAlignment="1">
      <alignment horizontal="center" vertical="center" wrapText="1"/>
      <protection/>
    </xf>
    <xf numFmtId="0" fontId="5" fillId="0" borderId="51" xfId="50" applyFont="1" applyBorder="1" applyAlignment="1">
      <alignment horizontal="center" vertical="center" wrapText="1"/>
      <protection/>
    </xf>
    <xf numFmtId="0" fontId="5" fillId="0" borderId="52" xfId="50" applyFont="1" applyBorder="1" applyAlignment="1">
      <alignment horizontal="center" vertical="center" wrapText="1"/>
      <protection/>
    </xf>
    <xf numFmtId="0" fontId="2" fillId="0" borderId="53" xfId="50" applyBorder="1">
      <alignment/>
      <protection/>
    </xf>
    <xf numFmtId="0" fontId="5" fillId="0" borderId="13" xfId="50" applyFont="1" applyBorder="1" applyAlignment="1">
      <alignment horizontal="center"/>
      <protection/>
    </xf>
    <xf numFmtId="0" fontId="5" fillId="0" borderId="54" xfId="50" applyFont="1" applyBorder="1" applyAlignment="1">
      <alignment horizontal="center"/>
      <protection/>
    </xf>
    <xf numFmtId="0" fontId="5" fillId="0" borderId="52" xfId="50" applyFont="1" applyBorder="1" applyAlignment="1">
      <alignment horizontal="center"/>
      <protection/>
    </xf>
    <xf numFmtId="0" fontId="5" fillId="0" borderId="35" xfId="50" applyFont="1" applyFill="1" applyBorder="1">
      <alignment/>
      <protection/>
    </xf>
    <xf numFmtId="1" fontId="2" fillId="0" borderId="55" xfId="50" applyNumberFormat="1" applyFont="1" applyFill="1" applyBorder="1">
      <alignment/>
      <protection/>
    </xf>
    <xf numFmtId="1" fontId="2" fillId="0" borderId="17" xfId="50" applyNumberFormat="1" applyFont="1" applyFill="1" applyBorder="1">
      <alignment/>
      <protection/>
    </xf>
    <xf numFmtId="173" fontId="5" fillId="0" borderId="21" xfId="50" applyNumberFormat="1" applyFont="1" applyFill="1" applyBorder="1">
      <alignment/>
      <protection/>
    </xf>
    <xf numFmtId="0" fontId="5" fillId="0" borderId="37" xfId="50" applyFont="1" applyFill="1" applyBorder="1">
      <alignment/>
      <protection/>
    </xf>
    <xf numFmtId="1" fontId="2" fillId="0" borderId="38" xfId="50" applyNumberFormat="1" applyFont="1" applyFill="1" applyBorder="1">
      <alignment/>
      <protection/>
    </xf>
    <xf numFmtId="1" fontId="2" fillId="0" borderId="20" xfId="50" applyNumberFormat="1" applyFont="1" applyFill="1" applyBorder="1">
      <alignment/>
      <protection/>
    </xf>
    <xf numFmtId="1" fontId="2" fillId="0" borderId="38" xfId="50" applyNumberFormat="1" applyFont="1" applyBorder="1">
      <alignment/>
      <protection/>
    </xf>
    <xf numFmtId="1" fontId="2" fillId="0" borderId="20" xfId="50" applyNumberFormat="1" applyFont="1" applyBorder="1">
      <alignment/>
      <protection/>
    </xf>
    <xf numFmtId="0" fontId="6" fillId="0" borderId="37" xfId="0" applyFont="1" applyBorder="1" applyAlignment="1">
      <alignment/>
    </xf>
    <xf numFmtId="1" fontId="2" fillId="0" borderId="56" xfId="50" applyNumberFormat="1" applyFont="1" applyBorder="1">
      <alignment/>
      <protection/>
    </xf>
    <xf numFmtId="1" fontId="2" fillId="0" borderId="34" xfId="50" applyNumberFormat="1" applyFont="1" applyBorder="1">
      <alignment/>
      <protection/>
    </xf>
    <xf numFmtId="0" fontId="5" fillId="0" borderId="10" xfId="50" applyFont="1" applyBorder="1">
      <alignment/>
      <protection/>
    </xf>
    <xf numFmtId="1" fontId="4" fillId="0" borderId="28" xfId="50" applyNumberFormat="1" applyFont="1" applyBorder="1">
      <alignment/>
      <protection/>
    </xf>
    <xf numFmtId="1" fontId="4" fillId="0" borderId="51" xfId="50" applyNumberFormat="1" applyFont="1" applyBorder="1">
      <alignment/>
      <protection/>
    </xf>
    <xf numFmtId="173" fontId="4" fillId="0" borderId="52" xfId="50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50" applyFont="1">
      <alignment/>
      <protection/>
    </xf>
    <xf numFmtId="0" fontId="4" fillId="0" borderId="10" xfId="50" applyFont="1" applyBorder="1">
      <alignment/>
      <protection/>
    </xf>
    <xf numFmtId="0" fontId="16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17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35" xfId="0" applyFill="1" applyBorder="1" applyAlignment="1">
      <alignment horizontal="center" textRotation="90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24" borderId="59" xfId="0" applyFill="1" applyBorder="1" applyAlignment="1">
      <alignment horizontal="center" vertical="top" wrapText="1"/>
    </xf>
    <xf numFmtId="0" fontId="0" fillId="24" borderId="50" xfId="0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49" xfId="0" applyBorder="1" applyAlignment="1">
      <alignment horizontal="left"/>
    </xf>
    <xf numFmtId="0" fontId="0" fillId="0" borderId="48" xfId="0" applyBorder="1" applyAlignment="1">
      <alignment wrapText="1"/>
    </xf>
    <xf numFmtId="3" fontId="0" fillId="0" borderId="42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24" borderId="31" xfId="0" applyNumberFormat="1" applyFill="1" applyBorder="1" applyAlignment="1">
      <alignment/>
    </xf>
    <xf numFmtId="3" fontId="0" fillId="0" borderId="37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wrapText="1"/>
    </xf>
    <xf numFmtId="3" fontId="0" fillId="0" borderId="32" xfId="0" applyNumberFormat="1" applyBorder="1" applyAlignment="1">
      <alignment/>
    </xf>
    <xf numFmtId="3" fontId="0" fillId="24" borderId="32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3" fontId="0" fillId="24" borderId="60" xfId="0" applyNumberFormat="1" applyFill="1" applyBorder="1" applyAlignment="1">
      <alignment/>
    </xf>
    <xf numFmtId="0" fontId="6" fillId="19" borderId="61" xfId="0" applyFont="1" applyFill="1" applyBorder="1" applyAlignment="1">
      <alignment horizontal="left"/>
    </xf>
    <xf numFmtId="0" fontId="6" fillId="19" borderId="52" xfId="0" applyFont="1" applyFill="1" applyBorder="1" applyAlignment="1">
      <alignment wrapText="1"/>
    </xf>
    <xf numFmtId="3" fontId="6" fillId="19" borderId="10" xfId="0" applyNumberFormat="1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3" fontId="6" fillId="19" borderId="51" xfId="0" applyNumberFormat="1" applyFont="1" applyFill="1" applyBorder="1" applyAlignment="1">
      <alignment/>
    </xf>
    <xf numFmtId="0" fontId="0" fillId="24" borderId="57" xfId="0" applyFont="1" applyFill="1" applyBorder="1" applyAlignment="1">
      <alignment horizontal="left"/>
    </xf>
    <xf numFmtId="3" fontId="0" fillId="24" borderId="62" xfId="0" applyNumberFormat="1" applyFont="1" applyFill="1" applyBorder="1" applyAlignment="1">
      <alignment/>
    </xf>
    <xf numFmtId="3" fontId="0" fillId="24" borderId="63" xfId="0" applyNumberFormat="1" applyFont="1" applyFill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24" borderId="64" xfId="0" applyNumberFormat="1" applyFont="1" applyFill="1" applyBorder="1" applyAlignment="1">
      <alignment/>
    </xf>
    <xf numFmtId="4" fontId="0" fillId="24" borderId="29" xfId="0" applyNumberFormat="1" applyFont="1" applyFill="1" applyBorder="1" applyAlignment="1">
      <alignment/>
    </xf>
    <xf numFmtId="3" fontId="6" fillId="19" borderId="65" xfId="0" applyNumberFormat="1" applyFont="1" applyFill="1" applyBorder="1" applyAlignment="1">
      <alignment/>
    </xf>
    <xf numFmtId="3" fontId="6" fillId="19" borderId="66" xfId="0" applyNumberFormat="1" applyFont="1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8" xfId="0" applyFill="1" applyBorder="1" applyAlignment="1">
      <alignment wrapText="1"/>
    </xf>
    <xf numFmtId="3" fontId="0" fillId="0" borderId="2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0" fontId="16" fillId="0" borderId="61" xfId="0" applyFont="1" applyFill="1" applyBorder="1" applyAlignment="1">
      <alignment horizontal="left"/>
    </xf>
    <xf numFmtId="0" fontId="16" fillId="0" borderId="52" xfId="0" applyFont="1" applyFill="1" applyBorder="1" applyAlignment="1">
      <alignment wrapText="1"/>
    </xf>
    <xf numFmtId="3" fontId="16" fillId="0" borderId="51" xfId="0" applyNumberFormat="1" applyFont="1" applyFill="1" applyBorder="1" applyAlignment="1">
      <alignment/>
    </xf>
    <xf numFmtId="2" fontId="2" fillId="0" borderId="20" xfId="47" applyNumberFormat="1" applyBorder="1">
      <alignment/>
      <protection/>
    </xf>
    <xf numFmtId="2" fontId="2" fillId="24" borderId="20" xfId="47" applyNumberFormat="1" applyFill="1" applyBorder="1">
      <alignment/>
      <protection/>
    </xf>
    <xf numFmtId="3" fontId="0" fillId="0" borderId="67" xfId="0" applyNumberFormat="1" applyFont="1" applyFill="1" applyBorder="1" applyAlignment="1">
      <alignment/>
    </xf>
    <xf numFmtId="0" fontId="0" fillId="19" borderId="28" xfId="0" applyFill="1" applyBorder="1" applyAlignment="1">
      <alignment/>
    </xf>
    <xf numFmtId="0" fontId="0" fillId="19" borderId="52" xfId="0" applyFill="1" applyBorder="1" applyAlignment="1">
      <alignment wrapText="1"/>
    </xf>
    <xf numFmtId="2" fontId="2" fillId="0" borderId="17" xfId="47" applyNumberFormat="1" applyBorder="1">
      <alignment/>
      <protection/>
    </xf>
    <xf numFmtId="2" fontId="2" fillId="0" borderId="34" xfId="47" applyNumberFormat="1" applyBorder="1">
      <alignment/>
      <protection/>
    </xf>
    <xf numFmtId="4" fontId="2" fillId="0" borderId="20" xfId="47" applyNumberFormat="1" applyFont="1" applyFill="1" applyBorder="1">
      <alignment/>
      <protection/>
    </xf>
    <xf numFmtId="0" fontId="0" fillId="0" borderId="58" xfId="0" applyFont="1" applyFill="1" applyBorder="1" applyAlignment="1">
      <alignment wrapText="1"/>
    </xf>
    <xf numFmtId="3" fontId="4" fillId="0" borderId="28" xfId="50" applyNumberFormat="1" applyFont="1" applyBorder="1">
      <alignment/>
      <protection/>
    </xf>
    <xf numFmtId="3" fontId="4" fillId="0" borderId="51" xfId="50" applyNumberFormat="1" applyFont="1" applyBorder="1">
      <alignment/>
      <protection/>
    </xf>
    <xf numFmtId="4" fontId="2" fillId="0" borderId="20" xfId="47" applyNumberFormat="1" applyFill="1" applyBorder="1">
      <alignment/>
      <protection/>
    </xf>
    <xf numFmtId="0" fontId="5" fillId="0" borderId="19" xfId="47" applyFont="1" applyFill="1" applyBorder="1">
      <alignment/>
      <protection/>
    </xf>
    <xf numFmtId="0" fontId="0" fillId="24" borderId="31" xfId="0" applyFill="1" applyBorder="1" applyAlignment="1">
      <alignment horizontal="center" textRotation="90" wrapText="1"/>
    </xf>
    <xf numFmtId="0" fontId="5" fillId="0" borderId="55" xfId="47" applyFont="1" applyBorder="1">
      <alignment/>
      <protection/>
    </xf>
    <xf numFmtId="0" fontId="5" fillId="24" borderId="38" xfId="47" applyFont="1" applyFill="1" applyBorder="1">
      <alignment/>
      <protection/>
    </xf>
    <xf numFmtId="0" fontId="5" fillId="24" borderId="56" xfId="47" applyFont="1" applyFill="1" applyBorder="1">
      <alignment/>
      <protection/>
    </xf>
    <xf numFmtId="0" fontId="5" fillId="24" borderId="28" xfId="47" applyFont="1" applyFill="1" applyBorder="1">
      <alignment/>
      <protection/>
    </xf>
    <xf numFmtId="0" fontId="2" fillId="0" borderId="35" xfId="47" applyBorder="1" applyAlignment="1">
      <alignment horizontal="center"/>
      <protection/>
    </xf>
    <xf numFmtId="0" fontId="2" fillId="24" borderId="37" xfId="47" applyFill="1" applyBorder="1" applyAlignment="1">
      <alignment horizontal="center"/>
      <protection/>
    </xf>
    <xf numFmtId="4" fontId="2" fillId="0" borderId="36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4" fontId="5" fillId="0" borderId="26" xfId="47" applyNumberFormat="1" applyFont="1" applyBorder="1">
      <alignment/>
      <protection/>
    </xf>
    <xf numFmtId="0" fontId="2" fillId="0" borderId="68" xfId="47" applyBorder="1">
      <alignment/>
      <protection/>
    </xf>
    <xf numFmtId="0" fontId="2" fillId="0" borderId="69" xfId="47" applyBorder="1">
      <alignment/>
      <protection/>
    </xf>
    <xf numFmtId="0" fontId="5" fillId="16" borderId="61" xfId="0" applyFont="1" applyFill="1" applyBorder="1" applyAlignment="1">
      <alignment horizontal="center"/>
    </xf>
    <xf numFmtId="0" fontId="5" fillId="16" borderId="51" xfId="0" applyFont="1" applyFill="1" applyBorder="1" applyAlignment="1">
      <alignment/>
    </xf>
    <xf numFmtId="0" fontId="5" fillId="16" borderId="51" xfId="0" applyFont="1" applyFill="1" applyBorder="1" applyAlignment="1">
      <alignment horizontal="center"/>
    </xf>
    <xf numFmtId="0" fontId="5" fillId="16" borderId="66" xfId="0" applyFont="1" applyFill="1" applyBorder="1" applyAlignment="1">
      <alignment horizontal="center"/>
    </xf>
    <xf numFmtId="0" fontId="5" fillId="16" borderId="52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3" fontId="2" fillId="0" borderId="4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19" borderId="61" xfId="0" applyFont="1" applyFill="1" applyBorder="1" applyAlignment="1">
      <alignment horizontal="center"/>
    </xf>
    <xf numFmtId="0" fontId="2" fillId="19" borderId="51" xfId="0" applyFont="1" applyFill="1" applyBorder="1" applyAlignment="1">
      <alignment/>
    </xf>
    <xf numFmtId="0" fontId="2" fillId="19" borderId="51" xfId="0" applyFont="1" applyFill="1" applyBorder="1" applyAlignment="1">
      <alignment horizontal="center"/>
    </xf>
    <xf numFmtId="0" fontId="2" fillId="16" borderId="61" xfId="0" applyFont="1" applyFill="1" applyBorder="1" applyAlignment="1">
      <alignment horizontal="center"/>
    </xf>
    <xf numFmtId="0" fontId="2" fillId="16" borderId="51" xfId="0" applyFont="1" applyFill="1" applyBorder="1" applyAlignment="1">
      <alignment/>
    </xf>
    <xf numFmtId="0" fontId="2" fillId="16" borderId="51" xfId="0" applyFont="1" applyFill="1" applyBorder="1" applyAlignment="1">
      <alignment horizontal="center"/>
    </xf>
    <xf numFmtId="0" fontId="9" fillId="25" borderId="43" xfId="0" applyFont="1" applyFill="1" applyBorder="1" applyAlignment="1">
      <alignment horizontal="center"/>
    </xf>
    <xf numFmtId="0" fontId="9" fillId="25" borderId="44" xfId="0" applyFont="1" applyFill="1" applyBorder="1" applyAlignment="1">
      <alignment/>
    </xf>
    <xf numFmtId="0" fontId="9" fillId="25" borderId="44" xfId="0" applyFon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0" fontId="5" fillId="4" borderId="51" xfId="50" applyFont="1" applyFill="1" applyBorder="1" applyAlignment="1">
      <alignment horizontal="center" vertical="center" wrapText="1"/>
      <protection/>
    </xf>
    <xf numFmtId="0" fontId="5" fillId="4" borderId="54" xfId="50" applyFont="1" applyFill="1" applyBorder="1" applyAlignment="1">
      <alignment horizontal="center"/>
      <protection/>
    </xf>
    <xf numFmtId="1" fontId="2" fillId="4" borderId="17" xfId="50" applyNumberFormat="1" applyFont="1" applyFill="1" applyBorder="1">
      <alignment/>
      <protection/>
    </xf>
    <xf numFmtId="1" fontId="2" fillId="4" borderId="20" xfId="50" applyNumberFormat="1" applyFont="1" applyFill="1" applyBorder="1">
      <alignment/>
      <protection/>
    </xf>
    <xf numFmtId="1" fontId="2" fillId="4" borderId="34" xfId="50" applyNumberFormat="1" applyFont="1" applyFill="1" applyBorder="1">
      <alignment/>
      <protection/>
    </xf>
    <xf numFmtId="1" fontId="4" fillId="4" borderId="51" xfId="50" applyNumberFormat="1" applyFont="1" applyFill="1" applyBorder="1">
      <alignment/>
      <protection/>
    </xf>
    <xf numFmtId="4" fontId="0" fillId="0" borderId="47" xfId="0" applyNumberFormat="1" applyFill="1" applyBorder="1" applyAlignment="1">
      <alignment/>
    </xf>
    <xf numFmtId="0" fontId="6" fillId="10" borderId="61" xfId="0" applyFont="1" applyFill="1" applyBorder="1" applyAlignment="1">
      <alignment horizontal="left"/>
    </xf>
    <xf numFmtId="0" fontId="6" fillId="10" borderId="52" xfId="0" applyFont="1" applyFill="1" applyBorder="1" applyAlignment="1">
      <alignment/>
    </xf>
    <xf numFmtId="3" fontId="6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0" fontId="15" fillId="0" borderId="10" xfId="50" applyFont="1" applyBorder="1" applyAlignment="1">
      <alignment horizontal="center" vertical="center" wrapText="1"/>
      <protection/>
    </xf>
    <xf numFmtId="0" fontId="15" fillId="0" borderId="28" xfId="50" applyFont="1" applyBorder="1" applyAlignment="1">
      <alignment horizontal="center" vertical="center" wrapText="1"/>
      <protection/>
    </xf>
    <xf numFmtId="0" fontId="15" fillId="0" borderId="51" xfId="50" applyFont="1" applyBorder="1" applyAlignment="1">
      <alignment horizontal="center" vertical="center" wrapText="1"/>
      <protection/>
    </xf>
    <xf numFmtId="0" fontId="15" fillId="0" borderId="52" xfId="50" applyFont="1" applyBorder="1" applyAlignment="1">
      <alignment horizontal="center" vertical="center" wrapText="1"/>
      <protection/>
    </xf>
    <xf numFmtId="0" fontId="14" fillId="0" borderId="53" xfId="50" applyFont="1" applyBorder="1">
      <alignment/>
      <protection/>
    </xf>
    <xf numFmtId="0" fontId="15" fillId="0" borderId="13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35" xfId="50" applyFont="1" applyFill="1" applyBorder="1">
      <alignment/>
      <protection/>
    </xf>
    <xf numFmtId="0" fontId="15" fillId="0" borderId="37" xfId="50" applyFont="1" applyFill="1" applyBorder="1">
      <alignment/>
      <protection/>
    </xf>
    <xf numFmtId="0" fontId="34" fillId="0" borderId="37" xfId="0" applyFont="1" applyBorder="1" applyAlignment="1">
      <alignment/>
    </xf>
    <xf numFmtId="0" fontId="0" fillId="26" borderId="49" xfId="0" applyFill="1" applyBorder="1" applyAlignment="1">
      <alignment horizontal="left"/>
    </xf>
    <xf numFmtId="0" fontId="5" fillId="0" borderId="26" xfId="47" applyFont="1" applyBorder="1" applyAlignment="1">
      <alignment horizontal="center" vertical="center" wrapText="1"/>
      <protection/>
    </xf>
    <xf numFmtId="0" fontId="5" fillId="0" borderId="66" xfId="47" applyFont="1" applyBorder="1" applyAlignment="1">
      <alignment horizontal="center" vertical="center" wrapText="1"/>
      <protection/>
    </xf>
    <xf numFmtId="4" fontId="2" fillId="0" borderId="34" xfId="47" applyNumberFormat="1" applyFill="1" applyBorder="1">
      <alignment/>
      <protection/>
    </xf>
    <xf numFmtId="4" fontId="5" fillId="0" borderId="10" xfId="47" applyNumberFormat="1" applyFont="1" applyFill="1" applyBorder="1">
      <alignment/>
      <protection/>
    </xf>
    <xf numFmtId="0" fontId="2" fillId="0" borderId="0" xfId="47" applyFill="1">
      <alignment/>
      <protection/>
    </xf>
    <xf numFmtId="0" fontId="5" fillId="0" borderId="14" xfId="47" applyFont="1" applyFill="1" applyBorder="1" applyAlignment="1">
      <alignment horizontal="center"/>
      <protection/>
    </xf>
    <xf numFmtId="4" fontId="2" fillId="0" borderId="17" xfId="47" applyNumberFormat="1" applyFill="1" applyBorder="1">
      <alignment/>
      <protection/>
    </xf>
    <xf numFmtId="0" fontId="0" fillId="0" borderId="55" xfId="0" applyBorder="1" applyAlignment="1">
      <alignment/>
    </xf>
    <xf numFmtId="0" fontId="0" fillId="0" borderId="70" xfId="0" applyBorder="1" applyAlignment="1">
      <alignment/>
    </xf>
    <xf numFmtId="3" fontId="14" fillId="17" borderId="17" xfId="50" applyNumberFormat="1" applyFont="1" applyFill="1" applyBorder="1">
      <alignment/>
      <protection/>
    </xf>
    <xf numFmtId="173" fontId="15" fillId="17" borderId="21" xfId="50" applyNumberFormat="1" applyFont="1" applyFill="1" applyBorder="1">
      <alignment/>
      <protection/>
    </xf>
    <xf numFmtId="3" fontId="14" fillId="17" borderId="20" xfId="50" applyNumberFormat="1" applyFont="1" applyFill="1" applyBorder="1">
      <alignment/>
      <protection/>
    </xf>
    <xf numFmtId="3" fontId="14" fillId="17" borderId="34" xfId="50" applyNumberFormat="1" applyFont="1" applyFill="1" applyBorder="1">
      <alignment/>
      <protection/>
    </xf>
    <xf numFmtId="0" fontId="4" fillId="0" borderId="0" xfId="0" applyFont="1" applyAlignment="1">
      <alignment/>
    </xf>
    <xf numFmtId="0" fontId="0" fillId="17" borderId="50" xfId="0" applyFill="1" applyBorder="1" applyAlignment="1">
      <alignment horizontal="center" vertical="top" wrapText="1"/>
    </xf>
    <xf numFmtId="3" fontId="6" fillId="10" borderId="61" xfId="0" applyNumberFormat="1" applyFont="1" applyFill="1" applyBorder="1" applyAlignment="1">
      <alignment/>
    </xf>
    <xf numFmtId="3" fontId="6" fillId="10" borderId="52" xfId="0" applyNumberFormat="1" applyFont="1" applyFill="1" applyBorder="1" applyAlignment="1">
      <alignment/>
    </xf>
    <xf numFmtId="3" fontId="6" fillId="10" borderId="51" xfId="0" applyNumberFormat="1" applyFont="1" applyFill="1" applyBorder="1" applyAlignment="1">
      <alignment/>
    </xf>
    <xf numFmtId="0" fontId="0" fillId="26" borderId="48" xfId="0" applyFill="1" applyBorder="1" applyAlignment="1">
      <alignment wrapText="1"/>
    </xf>
    <xf numFmtId="3" fontId="0" fillId="26" borderId="42" xfId="0" applyNumberFormat="1" applyFill="1" applyBorder="1" applyAlignment="1">
      <alignment/>
    </xf>
    <xf numFmtId="3" fontId="0" fillId="26" borderId="60" xfId="0" applyNumberFormat="1" applyFill="1" applyBorder="1" applyAlignment="1">
      <alignment/>
    </xf>
    <xf numFmtId="3" fontId="0" fillId="26" borderId="37" xfId="0" applyNumberFormat="1" applyFill="1" applyBorder="1" applyAlignment="1">
      <alignment/>
    </xf>
    <xf numFmtId="3" fontId="0" fillId="26" borderId="24" xfId="0" applyNumberFormat="1" applyFill="1" applyBorder="1" applyAlignment="1">
      <alignment/>
    </xf>
    <xf numFmtId="3" fontId="0" fillId="26" borderId="47" xfId="0" applyNumberFormat="1" applyFill="1" applyBorder="1" applyAlignment="1">
      <alignment/>
    </xf>
    <xf numFmtId="0" fontId="6" fillId="0" borderId="61" xfId="0" applyFont="1" applyFill="1" applyBorder="1" applyAlignment="1">
      <alignment horizontal="left"/>
    </xf>
    <xf numFmtId="0" fontId="6" fillId="0" borderId="52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6" fontId="0" fillId="0" borderId="61" xfId="0" applyNumberFormat="1" applyFont="1" applyFill="1" applyBorder="1" applyAlignment="1">
      <alignment/>
    </xf>
    <xf numFmtId="176" fontId="0" fillId="0" borderId="51" xfId="0" applyNumberFormat="1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176" fontId="0" fillId="0" borderId="65" xfId="0" applyNumberFormat="1" applyFont="1" applyFill="1" applyBorder="1" applyAlignment="1">
      <alignment/>
    </xf>
    <xf numFmtId="176" fontId="0" fillId="0" borderId="66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3" fontId="14" fillId="0" borderId="55" xfId="50" applyNumberFormat="1" applyFont="1" applyFill="1" applyBorder="1">
      <alignment/>
      <protection/>
    </xf>
    <xf numFmtId="3" fontId="14" fillId="0" borderId="38" xfId="50" applyNumberFormat="1" applyFont="1" applyFill="1" applyBorder="1">
      <alignment/>
      <protection/>
    </xf>
    <xf numFmtId="3" fontId="14" fillId="0" borderId="56" xfId="50" applyNumberFormat="1" applyFont="1" applyFill="1" applyBorder="1">
      <alignment/>
      <protection/>
    </xf>
    <xf numFmtId="1" fontId="2" fillId="0" borderId="56" xfId="50" applyNumberFormat="1" applyFont="1" applyFill="1" applyBorder="1">
      <alignment/>
      <protection/>
    </xf>
    <xf numFmtId="4" fontId="2" fillId="0" borderId="42" xfId="47" applyNumberFormat="1" applyBorder="1">
      <alignment/>
      <protection/>
    </xf>
    <xf numFmtId="4" fontId="2" fillId="0" borderId="48" xfId="47" applyNumberFormat="1" applyBorder="1">
      <alignment/>
      <protection/>
    </xf>
    <xf numFmtId="0" fontId="4" fillId="0" borderId="0" xfId="49" applyFont="1" applyFill="1">
      <alignment/>
      <protection/>
    </xf>
    <xf numFmtId="0" fontId="5" fillId="0" borderId="0" xfId="50" applyFont="1" applyFill="1" applyAlignment="1">
      <alignment horizontal="right"/>
      <protection/>
    </xf>
    <xf numFmtId="0" fontId="2" fillId="0" borderId="0" xfId="47" applyFont="1" applyFill="1">
      <alignment/>
      <protection/>
    </xf>
    <xf numFmtId="0" fontId="2" fillId="0" borderId="28" xfId="47" applyFill="1" applyBorder="1">
      <alignment/>
      <protection/>
    </xf>
    <xf numFmtId="0" fontId="5" fillId="0" borderId="11" xfId="47" applyFont="1" applyFill="1" applyBorder="1">
      <alignment/>
      <protection/>
    </xf>
    <xf numFmtId="0" fontId="2" fillId="0" borderId="26" xfId="47" applyFill="1" applyBorder="1">
      <alignment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/>
      <protection/>
    </xf>
    <xf numFmtId="4" fontId="2" fillId="0" borderId="42" xfId="47" applyNumberFormat="1" applyFill="1" applyBorder="1">
      <alignment/>
      <protection/>
    </xf>
    <xf numFmtId="4" fontId="2" fillId="0" borderId="18" xfId="47" applyNumberFormat="1" applyFill="1" applyBorder="1">
      <alignment/>
      <protection/>
    </xf>
    <xf numFmtId="4" fontId="2" fillId="0" borderId="21" xfId="47" applyNumberFormat="1" applyFill="1" applyBorder="1">
      <alignment/>
      <protection/>
    </xf>
    <xf numFmtId="4" fontId="2" fillId="0" borderId="23" xfId="47" applyNumberFormat="1" applyFill="1" applyBorder="1">
      <alignment/>
      <protection/>
    </xf>
    <xf numFmtId="4" fontId="5" fillId="0" borderId="28" xfId="47" applyNumberFormat="1" applyFont="1" applyFill="1" applyBorder="1">
      <alignment/>
      <protection/>
    </xf>
    <xf numFmtId="4" fontId="5" fillId="0" borderId="16" xfId="47" applyNumberFormat="1" applyFont="1" applyFill="1" applyBorder="1">
      <alignment/>
      <protection/>
    </xf>
    <xf numFmtId="3" fontId="5" fillId="0" borderId="16" xfId="47" applyNumberFormat="1" applyFont="1" applyFill="1" applyBorder="1">
      <alignment/>
      <protection/>
    </xf>
    <xf numFmtId="4" fontId="5" fillId="0" borderId="35" xfId="47" applyNumberFormat="1" applyFont="1" applyFill="1" applyBorder="1">
      <alignment/>
      <protection/>
    </xf>
    <xf numFmtId="3" fontId="5" fillId="0" borderId="19" xfId="47" applyNumberFormat="1" applyFont="1" applyFill="1" applyBorder="1">
      <alignment/>
      <protection/>
    </xf>
    <xf numFmtId="4" fontId="5" fillId="0" borderId="19" xfId="47" applyNumberFormat="1" applyFont="1" applyFill="1" applyBorder="1">
      <alignment/>
      <protection/>
    </xf>
    <xf numFmtId="4" fontId="5" fillId="0" borderId="37" xfId="47" applyNumberFormat="1" applyFont="1" applyFill="1" applyBorder="1">
      <alignment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 textRotation="90"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71" xfId="0" applyNumberFormat="1" applyFont="1" applyBorder="1" applyAlignment="1">
      <alignment/>
    </xf>
    <xf numFmtId="4" fontId="5" fillId="19" borderId="66" xfId="0" applyNumberFormat="1" applyFont="1" applyFill="1" applyBorder="1" applyAlignment="1">
      <alignment/>
    </xf>
    <xf numFmtId="4" fontId="5" fillId="16" borderId="66" xfId="0" applyNumberFormat="1" applyFont="1" applyFill="1" applyBorder="1" applyAlignment="1">
      <alignment/>
    </xf>
    <xf numFmtId="4" fontId="10" fillId="25" borderId="46" xfId="0" applyNumberFormat="1" applyFont="1" applyFill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0" fillId="25" borderId="44" xfId="0" applyNumberFormat="1" applyFont="1" applyFill="1" applyBorder="1" applyAlignment="1">
      <alignment/>
    </xf>
    <xf numFmtId="0" fontId="2" fillId="0" borderId="0" xfId="50" applyAlignment="1">
      <alignment horizontal="left"/>
      <protection/>
    </xf>
    <xf numFmtId="0" fontId="15" fillId="0" borderId="51" xfId="50" applyFont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54" xfId="0" applyBorder="1" applyAlignment="1">
      <alignment horizontal="center" textRotation="90" wrapText="1"/>
    </xf>
    <xf numFmtId="0" fontId="0" fillId="0" borderId="72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73" xfId="0" applyBorder="1" applyAlignment="1">
      <alignment horizontal="center" textRotation="90" wrapText="1"/>
    </xf>
    <xf numFmtId="0" fontId="0" fillId="24" borderId="72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10" borderId="14" xfId="0" applyFill="1" applyBorder="1" applyAlignment="1">
      <alignment horizontal="center" textRotation="90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67" xfId="0" applyBorder="1" applyAlignment="1">
      <alignment horizontal="center" textRotation="90" wrapText="1"/>
    </xf>
    <xf numFmtId="0" fontId="0" fillId="0" borderId="76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24" borderId="76" xfId="0" applyFill="1" applyBorder="1" applyAlignment="1">
      <alignment horizontal="center" textRotation="90" wrapText="1"/>
    </xf>
    <xf numFmtId="0" fontId="0" fillId="0" borderId="53" xfId="0" applyFill="1" applyBorder="1" applyAlignment="1">
      <alignment horizontal="center" textRotation="90" wrapText="1"/>
    </xf>
    <xf numFmtId="0" fontId="0" fillId="10" borderId="53" xfId="0" applyFill="1" applyBorder="1" applyAlignment="1">
      <alignment horizontal="center" textRotation="90" wrapText="1"/>
    </xf>
    <xf numFmtId="4" fontId="16" fillId="0" borderId="52" xfId="0" applyNumberFormat="1" applyFont="1" applyFill="1" applyBorder="1" applyAlignment="1">
      <alignment/>
    </xf>
    <xf numFmtId="4" fontId="2" fillId="0" borderId="0" xfId="48" applyNumberFormat="1">
      <alignment/>
      <protection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9" fillId="26" borderId="20" xfId="0" applyFont="1" applyFill="1" applyBorder="1" applyAlignment="1">
      <alignment horizontal="center" vertical="center" wrapText="1"/>
    </xf>
    <xf numFmtId="0" fontId="0" fillId="26" borderId="20" xfId="0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2" fillId="0" borderId="0" xfId="50" applyNumberFormat="1">
      <alignment/>
      <protection/>
    </xf>
    <xf numFmtId="4" fontId="6" fillId="19" borderId="52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1" fontId="0" fillId="26" borderId="20" xfId="0" applyNumberFormat="1" applyFill="1" applyBorder="1" applyAlignment="1">
      <alignment/>
    </xf>
    <xf numFmtId="3" fontId="19" fillId="26" borderId="20" xfId="0" applyNumberFormat="1" applyFont="1" applyFill="1" applyBorder="1" applyAlignment="1">
      <alignment/>
    </xf>
    <xf numFmtId="0" fontId="2" fillId="0" borderId="69" xfId="47" applyFill="1" applyBorder="1">
      <alignment/>
      <protection/>
    </xf>
    <xf numFmtId="4" fontId="2" fillId="0" borderId="25" xfId="47" applyNumberFormat="1" applyFont="1" applyFill="1" applyBorder="1">
      <alignment/>
      <protection/>
    </xf>
    <xf numFmtId="0" fontId="19" fillId="0" borderId="20" xfId="0" applyFont="1" applyBorder="1" applyAlignment="1">
      <alignment/>
    </xf>
    <xf numFmtId="3" fontId="0" fillId="26" borderId="20" xfId="0" applyNumberFormat="1" applyFill="1" applyBorder="1" applyAlignment="1">
      <alignment/>
    </xf>
    <xf numFmtId="1" fontId="6" fillId="26" borderId="2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3" fontId="19" fillId="24" borderId="0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26" borderId="19" xfId="0" applyFont="1" applyFill="1" applyBorder="1" applyAlignment="1">
      <alignment horizontal="center"/>
    </xf>
    <xf numFmtId="0" fontId="2" fillId="26" borderId="20" xfId="0" applyFont="1" applyFill="1" applyBorder="1" applyAlignment="1">
      <alignment/>
    </xf>
    <xf numFmtId="0" fontId="2" fillId="26" borderId="20" xfId="0" applyFont="1" applyFill="1" applyBorder="1" applyAlignment="1">
      <alignment horizontal="center"/>
    </xf>
    <xf numFmtId="4" fontId="2" fillId="26" borderId="25" xfId="0" applyNumberFormat="1" applyFont="1" applyFill="1" applyBorder="1" applyAlignment="1">
      <alignment/>
    </xf>
    <xf numFmtId="3" fontId="2" fillId="26" borderId="48" xfId="0" applyNumberFormat="1" applyFont="1" applyFill="1" applyBorder="1" applyAlignment="1">
      <alignment/>
    </xf>
    <xf numFmtId="0" fontId="4" fillId="26" borderId="0" xfId="0" applyFont="1" applyFill="1" applyAlignment="1">
      <alignment/>
    </xf>
    <xf numFmtId="4" fontId="2" fillId="26" borderId="20" xfId="0" applyNumberFormat="1" applyFont="1" applyFill="1" applyBorder="1" applyAlignment="1">
      <alignment/>
    </xf>
    <xf numFmtId="0" fontId="2" fillId="26" borderId="0" xfId="48" applyFill="1">
      <alignment/>
      <protection/>
    </xf>
    <xf numFmtId="4" fontId="2" fillId="0" borderId="0" xfId="50" applyNumberFormat="1">
      <alignment/>
      <protection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4" fontId="2" fillId="24" borderId="20" xfId="0" applyNumberFormat="1" applyFont="1" applyFill="1" applyBorder="1" applyAlignment="1">
      <alignment/>
    </xf>
    <xf numFmtId="3" fontId="2" fillId="24" borderId="48" xfId="0" applyNumberFormat="1" applyFont="1" applyFill="1" applyBorder="1" applyAlignment="1">
      <alignment/>
    </xf>
    <xf numFmtId="0" fontId="2" fillId="24" borderId="0" xfId="48" applyFill="1">
      <alignment/>
      <protection/>
    </xf>
    <xf numFmtId="0" fontId="5" fillId="10" borderId="51" xfId="50" applyFont="1" applyFill="1" applyBorder="1" applyAlignment="1">
      <alignment horizontal="center" vertical="center" wrapText="1"/>
      <protection/>
    </xf>
    <xf numFmtId="0" fontId="5" fillId="10" borderId="54" xfId="50" applyFont="1" applyFill="1" applyBorder="1" applyAlignment="1">
      <alignment horizontal="center"/>
      <protection/>
    </xf>
    <xf numFmtId="1" fontId="2" fillId="10" borderId="17" xfId="50" applyNumberFormat="1" applyFont="1" applyFill="1" applyBorder="1">
      <alignment/>
      <protection/>
    </xf>
    <xf numFmtId="1" fontId="2" fillId="10" borderId="20" xfId="50" applyNumberFormat="1" applyFont="1" applyFill="1" applyBorder="1">
      <alignment/>
      <protection/>
    </xf>
    <xf numFmtId="1" fontId="2" fillId="10" borderId="34" xfId="50" applyNumberFormat="1" applyFont="1" applyFill="1" applyBorder="1">
      <alignment/>
      <protection/>
    </xf>
    <xf numFmtId="1" fontId="4" fillId="10" borderId="51" xfId="50" applyNumberFormat="1" applyFont="1" applyFill="1" applyBorder="1">
      <alignment/>
      <protection/>
    </xf>
    <xf numFmtId="2" fontId="2" fillId="0" borderId="16" xfId="47" applyNumberFormat="1" applyBorder="1">
      <alignment/>
      <protection/>
    </xf>
    <xf numFmtId="2" fontId="2" fillId="0" borderId="18" xfId="47" applyNumberFormat="1" applyBorder="1">
      <alignment/>
      <protection/>
    </xf>
    <xf numFmtId="2" fontId="2" fillId="0" borderId="19" xfId="47" applyNumberFormat="1" applyBorder="1">
      <alignment/>
      <protection/>
    </xf>
    <xf numFmtId="2" fontId="2" fillId="0" borderId="21" xfId="47" applyNumberFormat="1" applyBorder="1">
      <alignment/>
      <protection/>
    </xf>
    <xf numFmtId="4" fontId="2" fillId="0" borderId="16" xfId="47" applyNumberFormat="1" applyFont="1" applyBorder="1">
      <alignment/>
      <protection/>
    </xf>
    <xf numFmtId="4" fontId="2" fillId="0" borderId="19" xfId="47" applyNumberFormat="1" applyFont="1" applyBorder="1">
      <alignment/>
      <protection/>
    </xf>
    <xf numFmtId="4" fontId="5" fillId="0" borderId="10" xfId="47" applyNumberFormat="1" applyFont="1" applyBorder="1" applyAlignment="1">
      <alignment horizontal="center" vertical="center" wrapText="1"/>
      <protection/>
    </xf>
    <xf numFmtId="4" fontId="5" fillId="0" borderId="14" xfId="47" applyNumberFormat="1" applyFont="1" applyBorder="1" applyAlignment="1">
      <alignment horizontal="center"/>
      <protection/>
    </xf>
    <xf numFmtId="0" fontId="5" fillId="0" borderId="51" xfId="50" applyFont="1" applyBorder="1" applyAlignment="1">
      <alignment horizontal="center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27" borderId="28" xfId="47" applyFont="1" applyFill="1" applyBorder="1" applyAlignment="1">
      <alignment horizontal="center" vertical="center" wrapText="1"/>
      <protection/>
    </xf>
    <xf numFmtId="0" fontId="5" fillId="27" borderId="14" xfId="47" applyFont="1" applyFill="1" applyBorder="1" applyAlignment="1">
      <alignment horizontal="center"/>
      <protection/>
    </xf>
    <xf numFmtId="4" fontId="2" fillId="27" borderId="16" xfId="47" applyNumberFormat="1" applyFill="1" applyBorder="1">
      <alignment/>
      <protection/>
    </xf>
    <xf numFmtId="4" fontId="2" fillId="27" borderId="19" xfId="47" applyNumberFormat="1" applyFill="1" applyBorder="1">
      <alignment/>
      <protection/>
    </xf>
    <xf numFmtId="4" fontId="2" fillId="27" borderId="22" xfId="47" applyNumberFormat="1" applyFill="1" applyBorder="1">
      <alignment/>
      <protection/>
    </xf>
    <xf numFmtId="4" fontId="5" fillId="27" borderId="10" xfId="47" applyNumberFormat="1" applyFont="1" applyFill="1" applyBorder="1">
      <alignment/>
      <protection/>
    </xf>
    <xf numFmtId="0" fontId="2" fillId="27" borderId="0" xfId="47" applyFill="1">
      <alignment/>
      <protection/>
    </xf>
    <xf numFmtId="0" fontId="4" fillId="27" borderId="0" xfId="0" applyFont="1" applyFill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ndy" xfId="47"/>
    <cellStyle name="normální_HV suma" xfId="48"/>
    <cellStyle name="normální_MP2002" xfId="49"/>
    <cellStyle name="normální_OBV" xfId="50"/>
    <cellStyle name="normální_tab PO" xfId="51"/>
    <cellStyle name="normální_Vysledovka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_15\Jurkov&#225;\Tabulky\Rozbory\RH%2010\tab%20PO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10"/>
      <sheetName val="ESF"/>
      <sheetName val="RN-Sk"/>
      <sheetName val="ONIV"/>
      <sheetName val="vynosy"/>
      <sheetName val="HVcelkem"/>
      <sheetName val="HV-HC orig"/>
      <sheetName val="HV-JC orig"/>
      <sheetName val="penFondy"/>
      <sheetName val="krytíPF"/>
      <sheetName val="F09 po prid"/>
      <sheetName val="List1"/>
      <sheetName val="List2"/>
    </sheetNames>
    <sheetDataSet>
      <sheetData sheetId="1">
        <row r="5">
          <cell r="C5">
            <v>6155.928</v>
          </cell>
          <cell r="D5">
            <v>90056.963</v>
          </cell>
          <cell r="F5">
            <v>32038.361</v>
          </cell>
          <cell r="G5">
            <v>299.289</v>
          </cell>
          <cell r="H5">
            <v>13915.741</v>
          </cell>
          <cell r="N5">
            <v>142466.282</v>
          </cell>
          <cell r="O5">
            <v>14</v>
          </cell>
        </row>
        <row r="7">
          <cell r="C7">
            <v>78294.607</v>
          </cell>
          <cell r="D7">
            <v>121715.66</v>
          </cell>
          <cell r="F7">
            <v>40705.797</v>
          </cell>
          <cell r="G7">
            <v>1593.161</v>
          </cell>
          <cell r="H7">
            <v>40487.133</v>
          </cell>
          <cell r="N7">
            <v>282796.358</v>
          </cell>
          <cell r="O7">
            <v>126.43</v>
          </cell>
        </row>
        <row r="8">
          <cell r="C8">
            <v>15500</v>
          </cell>
          <cell r="D8">
            <v>11215</v>
          </cell>
          <cell r="F8">
            <v>7987.929</v>
          </cell>
          <cell r="G8">
            <v>324.1</v>
          </cell>
          <cell r="H8">
            <v>7608.862</v>
          </cell>
          <cell r="N8">
            <v>42635.891</v>
          </cell>
          <cell r="O8">
            <v>27.1</v>
          </cell>
        </row>
        <row r="9">
          <cell r="C9">
            <v>16054.683</v>
          </cell>
          <cell r="D9">
            <v>40516.655</v>
          </cell>
          <cell r="F9">
            <v>15138.322</v>
          </cell>
          <cell r="G9">
            <v>346.498</v>
          </cell>
          <cell r="H9">
            <v>13848.401</v>
          </cell>
          <cell r="N9">
            <v>85904.55900000001</v>
          </cell>
          <cell r="O9">
            <v>41.6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34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9.140625" defaultRowHeight="12.75"/>
  <cols>
    <col min="1" max="1" width="10.421875" style="0" customWidth="1"/>
    <col min="2" max="2" width="31.421875" style="0" customWidth="1"/>
    <col min="3" max="6" width="9.57421875" style="0" bestFit="1" customWidth="1"/>
    <col min="7" max="7" width="7.00390625" style="0" bestFit="1" customWidth="1"/>
    <col min="8" max="8" width="9.57421875" style="0" bestFit="1" customWidth="1"/>
    <col min="9" max="9" width="3.57421875" style="165" bestFit="1" customWidth="1"/>
    <col min="10" max="12" width="9.57421875" style="0" bestFit="1" customWidth="1"/>
    <col min="13" max="13" width="8.28125" style="165" bestFit="1" customWidth="1"/>
    <col min="14" max="14" width="10.8515625" style="0" customWidth="1"/>
    <col min="15" max="15" width="8.140625" style="0" customWidth="1"/>
    <col min="16" max="17" width="10.421875" style="0" bestFit="1" customWidth="1"/>
  </cols>
  <sheetData>
    <row r="1" spans="1:14" ht="15.75">
      <c r="A1" s="164" t="s">
        <v>210</v>
      </c>
      <c r="I1"/>
      <c r="N1" s="164" t="s">
        <v>193</v>
      </c>
    </row>
    <row r="2" spans="1:14" ht="16.5" thickBot="1">
      <c r="A2" s="164"/>
      <c r="N2" t="s">
        <v>1</v>
      </c>
    </row>
    <row r="3" spans="1:15" ht="78.75" customHeight="1">
      <c r="A3" s="377"/>
      <c r="B3" s="378"/>
      <c r="C3" s="379" t="s">
        <v>136</v>
      </c>
      <c r="D3" s="380" t="s">
        <v>137</v>
      </c>
      <c r="E3" s="381" t="s">
        <v>138</v>
      </c>
      <c r="F3" s="382" t="s">
        <v>139</v>
      </c>
      <c r="G3" s="379" t="s">
        <v>140</v>
      </c>
      <c r="H3" s="380" t="s">
        <v>141</v>
      </c>
      <c r="I3" s="383" t="s">
        <v>176</v>
      </c>
      <c r="J3" s="381" t="s">
        <v>142</v>
      </c>
      <c r="K3" s="381" t="s">
        <v>143</v>
      </c>
      <c r="L3" s="384" t="s">
        <v>144</v>
      </c>
      <c r="M3" s="385" t="s">
        <v>145</v>
      </c>
      <c r="N3" s="384" t="s">
        <v>146</v>
      </c>
      <c r="O3" s="381" t="s">
        <v>147</v>
      </c>
    </row>
    <row r="4" spans="1:15" ht="8.25" customHeight="1" thickBot="1">
      <c r="A4" s="386"/>
      <c r="B4" s="387"/>
      <c r="C4" s="388"/>
      <c r="D4" s="389"/>
      <c r="E4" s="390"/>
      <c r="F4" s="391"/>
      <c r="G4" s="388"/>
      <c r="H4" s="389"/>
      <c r="I4" s="392"/>
      <c r="J4" s="390"/>
      <c r="K4" s="390"/>
      <c r="L4" s="393"/>
      <c r="M4" s="394"/>
      <c r="N4" s="393"/>
      <c r="O4" s="390"/>
    </row>
    <row r="5" spans="1:15" ht="43.5" customHeight="1" thickBot="1">
      <c r="A5" s="171" t="s">
        <v>148</v>
      </c>
      <c r="B5" s="172" t="s">
        <v>149</v>
      </c>
      <c r="C5" s="173" t="s">
        <v>263</v>
      </c>
      <c r="D5" s="174" t="s">
        <v>264</v>
      </c>
      <c r="E5" s="175"/>
      <c r="F5" s="176" t="s">
        <v>265</v>
      </c>
      <c r="G5" s="177" t="s">
        <v>266</v>
      </c>
      <c r="H5" s="177" t="s">
        <v>267</v>
      </c>
      <c r="I5" s="178"/>
      <c r="J5" s="175"/>
      <c r="K5" s="175"/>
      <c r="L5" s="175"/>
      <c r="M5" s="313"/>
      <c r="N5" s="175"/>
      <c r="O5" s="313" t="s">
        <v>268</v>
      </c>
    </row>
    <row r="6" spans="1:15" ht="13.5" thickBot="1">
      <c r="A6" s="283"/>
      <c r="B6" s="284" t="s">
        <v>188</v>
      </c>
      <c r="C6" s="314">
        <f>ROUND('[1]ESF'!C5,0)</f>
        <v>6156</v>
      </c>
      <c r="D6" s="314">
        <f>ROUND('[1]ESF'!D5,0)</f>
        <v>90057</v>
      </c>
      <c r="E6" s="285">
        <f aca="true" t="shared" si="0" ref="E6:E11">SUM(C6:D6)</f>
        <v>96213</v>
      </c>
      <c r="F6" s="314">
        <f>ROUND('[1]ESF'!F5,0)</f>
        <v>32038</v>
      </c>
      <c r="G6" s="316">
        <f>ROUND('[1]ESF'!G5,0)</f>
        <v>299</v>
      </c>
      <c r="H6" s="316">
        <f>ROUND('[1]ESF'!H5,0)</f>
        <v>13916</v>
      </c>
      <c r="I6" s="315"/>
      <c r="J6" s="285">
        <f aca="true" t="shared" si="1" ref="J6:J11">SUM(H6:I6)</f>
        <v>13916</v>
      </c>
      <c r="K6" s="285">
        <f aca="true" t="shared" si="2" ref="K6:K11">SUM(F6,G6,J6)</f>
        <v>46253</v>
      </c>
      <c r="L6" s="285">
        <f aca="true" t="shared" si="3" ref="L6:L11">SUM(E6,K6)</f>
        <v>142466</v>
      </c>
      <c r="M6" s="285"/>
      <c r="N6" s="285">
        <f>ROUND('[1]ESF'!N5,0)</f>
        <v>142466</v>
      </c>
      <c r="O6" s="286">
        <f>'[1]ESF'!O5</f>
        <v>14</v>
      </c>
    </row>
    <row r="7" spans="1:15" ht="12.75">
      <c r="A7" s="181" t="s">
        <v>179</v>
      </c>
      <c r="B7" s="182" t="s">
        <v>180</v>
      </c>
      <c r="C7" s="183">
        <v>5398</v>
      </c>
      <c r="D7" s="184">
        <v>800</v>
      </c>
      <c r="E7" s="185">
        <f t="shared" si="0"/>
        <v>6198</v>
      </c>
      <c r="F7" s="186">
        <v>1836</v>
      </c>
      <c r="G7" s="183">
        <v>108</v>
      </c>
      <c r="H7" s="183">
        <v>670</v>
      </c>
      <c r="I7" s="187"/>
      <c r="J7" s="188">
        <f t="shared" si="1"/>
        <v>670</v>
      </c>
      <c r="K7" s="185">
        <f t="shared" si="2"/>
        <v>2614</v>
      </c>
      <c r="L7" s="189">
        <f t="shared" si="3"/>
        <v>8812</v>
      </c>
      <c r="M7" s="189">
        <v>2020</v>
      </c>
      <c r="N7" s="189">
        <f>SUM(L7,M7)</f>
        <v>10832</v>
      </c>
      <c r="O7" s="282">
        <v>19.17</v>
      </c>
    </row>
    <row r="8" spans="1:15" ht="12.75">
      <c r="A8" s="181" t="s">
        <v>181</v>
      </c>
      <c r="B8" s="182" t="s">
        <v>182</v>
      </c>
      <c r="C8" s="183"/>
      <c r="D8" s="184">
        <v>1683</v>
      </c>
      <c r="E8" s="188">
        <f t="shared" si="0"/>
        <v>1683</v>
      </c>
      <c r="F8" s="186">
        <v>65</v>
      </c>
      <c r="G8" s="183"/>
      <c r="H8" s="183">
        <v>1128</v>
      </c>
      <c r="I8" s="196"/>
      <c r="J8" s="188">
        <f t="shared" si="1"/>
        <v>1128</v>
      </c>
      <c r="K8" s="188">
        <f t="shared" si="2"/>
        <v>1193</v>
      </c>
      <c r="L8" s="194">
        <f t="shared" si="3"/>
        <v>2876</v>
      </c>
      <c r="M8" s="189">
        <v>350</v>
      </c>
      <c r="N8" s="194">
        <f>SUM(L8,M8)</f>
        <v>3226</v>
      </c>
      <c r="O8" s="282"/>
    </row>
    <row r="9" spans="1:15" ht="12.75">
      <c r="A9" s="298" t="s">
        <v>199</v>
      </c>
      <c r="B9" s="317" t="s">
        <v>200</v>
      </c>
      <c r="C9" s="318"/>
      <c r="D9" s="319"/>
      <c r="E9" s="320">
        <f t="shared" si="0"/>
        <v>0</v>
      </c>
      <c r="F9" s="321"/>
      <c r="G9" s="318"/>
      <c r="H9" s="318"/>
      <c r="I9" s="319"/>
      <c r="J9" s="320">
        <f t="shared" si="1"/>
        <v>0</v>
      </c>
      <c r="K9" s="320">
        <f t="shared" si="2"/>
        <v>0</v>
      </c>
      <c r="L9" s="320">
        <f t="shared" si="3"/>
        <v>0</v>
      </c>
      <c r="M9" s="322"/>
      <c r="N9" s="320">
        <f>SUM(L9,M9)</f>
        <v>0</v>
      </c>
      <c r="O9" s="282"/>
    </row>
    <row r="10" spans="1:15" ht="25.5">
      <c r="A10" s="181" t="s">
        <v>183</v>
      </c>
      <c r="B10" s="182" t="s">
        <v>184</v>
      </c>
      <c r="C10" s="183"/>
      <c r="D10" s="184">
        <v>38</v>
      </c>
      <c r="E10" s="188">
        <f t="shared" si="0"/>
        <v>38</v>
      </c>
      <c r="F10" s="186"/>
      <c r="G10" s="183"/>
      <c r="H10" s="183">
        <v>122</v>
      </c>
      <c r="I10" s="196"/>
      <c r="J10" s="185">
        <f t="shared" si="1"/>
        <v>122</v>
      </c>
      <c r="K10" s="185">
        <f t="shared" si="2"/>
        <v>122</v>
      </c>
      <c r="L10" s="189">
        <f t="shared" si="3"/>
        <v>160</v>
      </c>
      <c r="M10" s="189"/>
      <c r="N10" s="189">
        <f>SUM(L10,M10)</f>
        <v>160</v>
      </c>
      <c r="O10" s="282"/>
    </row>
    <row r="11" spans="1:15" ht="17.25" customHeight="1" thickBot="1">
      <c r="A11" s="181" t="s">
        <v>269</v>
      </c>
      <c r="B11" s="191" t="s">
        <v>270</v>
      </c>
      <c r="C11" s="183"/>
      <c r="D11" s="192">
        <v>398</v>
      </c>
      <c r="E11" s="188">
        <f t="shared" si="0"/>
        <v>398</v>
      </c>
      <c r="F11" s="122"/>
      <c r="G11" s="103"/>
      <c r="H11" s="103">
        <v>327</v>
      </c>
      <c r="I11" s="193"/>
      <c r="J11" s="188">
        <f t="shared" si="1"/>
        <v>327</v>
      </c>
      <c r="K11" s="188">
        <f t="shared" si="2"/>
        <v>327</v>
      </c>
      <c r="L11" s="194">
        <f t="shared" si="3"/>
        <v>725</v>
      </c>
      <c r="M11" s="194"/>
      <c r="N11" s="194">
        <f>SUM(L11,M11)</f>
        <v>725</v>
      </c>
      <c r="O11" s="282"/>
    </row>
    <row r="12" spans="1:19" s="100" customFormat="1" ht="14.25" customHeight="1" thickBot="1">
      <c r="A12" s="197"/>
      <c r="B12" s="198" t="s">
        <v>150</v>
      </c>
      <c r="C12" s="199">
        <f aca="true" t="shared" si="4" ref="C12:O12">SUM(C6:C11)</f>
        <v>11554</v>
      </c>
      <c r="D12" s="199">
        <f t="shared" si="4"/>
        <v>92976</v>
      </c>
      <c r="E12" s="199">
        <f t="shared" si="4"/>
        <v>104530</v>
      </c>
      <c r="F12" s="199">
        <f t="shared" si="4"/>
        <v>33939</v>
      </c>
      <c r="G12" s="199">
        <f t="shared" si="4"/>
        <v>407</v>
      </c>
      <c r="H12" s="199">
        <f t="shared" si="4"/>
        <v>16163</v>
      </c>
      <c r="I12" s="199">
        <f t="shared" si="4"/>
        <v>0</v>
      </c>
      <c r="J12" s="199">
        <f t="shared" si="4"/>
        <v>16163</v>
      </c>
      <c r="K12" s="199">
        <f t="shared" si="4"/>
        <v>50509</v>
      </c>
      <c r="L12" s="199">
        <f t="shared" si="4"/>
        <v>155039</v>
      </c>
      <c r="M12" s="199">
        <f t="shared" si="4"/>
        <v>2370</v>
      </c>
      <c r="N12" s="199">
        <f t="shared" si="4"/>
        <v>157409</v>
      </c>
      <c r="O12" s="200">
        <f t="shared" si="4"/>
        <v>33.17</v>
      </c>
      <c r="P12"/>
      <c r="Q12"/>
      <c r="R12"/>
      <c r="S12"/>
    </row>
    <row r="13" spans="1:15" ht="13.5" thickBot="1">
      <c r="A13" s="283"/>
      <c r="B13" s="284" t="s">
        <v>202</v>
      </c>
      <c r="C13" s="314">
        <f>ROUND('[1]ESF'!C12,0)</f>
        <v>0</v>
      </c>
      <c r="D13" s="314">
        <f>ROUND('[1]ESF'!D12,0)</f>
        <v>0</v>
      </c>
      <c r="E13" s="285">
        <f>SUM(C13:D13)</f>
        <v>0</v>
      </c>
      <c r="F13" s="314">
        <f>ROUND('[1]ESF'!F12,0)</f>
        <v>0</v>
      </c>
      <c r="G13" s="316">
        <f>ROUND('[1]ESF'!G12,0)</f>
        <v>0</v>
      </c>
      <c r="H13" s="316">
        <f>ROUND('[1]ESF'!H12,0)</f>
        <v>0</v>
      </c>
      <c r="I13" s="315"/>
      <c r="J13" s="285">
        <f>SUM(H13:I13)</f>
        <v>0</v>
      </c>
      <c r="K13" s="285">
        <f>SUM(F13,G13,J13)</f>
        <v>0</v>
      </c>
      <c r="L13" s="285">
        <f>SUM(E13,K13)</f>
        <v>0</v>
      </c>
      <c r="M13" s="285"/>
      <c r="N13" s="285">
        <f>ROUND('[1]ESF'!N12,0)</f>
        <v>0</v>
      </c>
      <c r="O13" s="286">
        <f>'[1]ESF'!O12</f>
        <v>0</v>
      </c>
    </row>
    <row r="14" spans="1:19" s="165" customFormat="1" ht="14.25" customHeight="1" thickBot="1">
      <c r="A14" s="202" t="s">
        <v>151</v>
      </c>
      <c r="B14" s="227" t="s">
        <v>152</v>
      </c>
      <c r="C14" s="203">
        <v>1883</v>
      </c>
      <c r="D14" s="204">
        <v>170</v>
      </c>
      <c r="E14" s="205">
        <f>SUM(C14:D14)</f>
        <v>2053</v>
      </c>
      <c r="F14" s="206">
        <v>641</v>
      </c>
      <c r="G14" s="203">
        <v>38</v>
      </c>
      <c r="H14" s="203">
        <v>2413</v>
      </c>
      <c r="I14" s="204"/>
      <c r="J14" s="205">
        <f>SUM(H14:I14)</f>
        <v>2413</v>
      </c>
      <c r="K14" s="205">
        <f>SUM(F14,G14,J14)</f>
        <v>3092</v>
      </c>
      <c r="L14" s="205">
        <f>SUM(E14,K14)</f>
        <v>5145</v>
      </c>
      <c r="M14" s="205">
        <v>1615</v>
      </c>
      <c r="N14" s="205">
        <f>SUM(L14,M14)</f>
        <v>6760</v>
      </c>
      <c r="O14" s="207">
        <v>8.74</v>
      </c>
      <c r="P14"/>
      <c r="Q14"/>
      <c r="R14"/>
      <c r="S14"/>
    </row>
    <row r="15" spans="1:15" ht="13.5" thickBot="1">
      <c r="A15" s="222"/>
      <c r="B15" s="223" t="s">
        <v>203</v>
      </c>
      <c r="C15" s="201">
        <f>SUM(C13:C14)</f>
        <v>1883</v>
      </c>
      <c r="D15" s="208">
        <f aca="true" t="shared" si="5" ref="D15:O15">SUM(D13:D14)</f>
        <v>170</v>
      </c>
      <c r="E15" s="199">
        <f t="shared" si="5"/>
        <v>2053</v>
      </c>
      <c r="F15" s="209">
        <f t="shared" si="5"/>
        <v>641</v>
      </c>
      <c r="G15" s="201">
        <f t="shared" si="5"/>
        <v>38</v>
      </c>
      <c r="H15" s="201">
        <f t="shared" si="5"/>
        <v>2413</v>
      </c>
      <c r="I15" s="201">
        <f t="shared" si="5"/>
        <v>0</v>
      </c>
      <c r="J15" s="199">
        <f t="shared" si="5"/>
        <v>2413</v>
      </c>
      <c r="K15" s="199">
        <f t="shared" si="5"/>
        <v>3092</v>
      </c>
      <c r="L15" s="199">
        <f t="shared" si="5"/>
        <v>5145</v>
      </c>
      <c r="M15" s="199">
        <f t="shared" si="5"/>
        <v>1615</v>
      </c>
      <c r="N15" s="199">
        <f t="shared" si="5"/>
        <v>6760</v>
      </c>
      <c r="O15" s="200">
        <f t="shared" si="5"/>
        <v>8.74</v>
      </c>
    </row>
    <row r="16" spans="1:19" s="161" customFormat="1" ht="13.5" thickBot="1">
      <c r="A16" s="283"/>
      <c r="B16" s="284" t="s">
        <v>189</v>
      </c>
      <c r="C16" s="314">
        <f>ROUND('[1]ESF'!C7,0)</f>
        <v>78295</v>
      </c>
      <c r="D16" s="315">
        <f>ROUND('[1]ESF'!D7,0)</f>
        <v>121716</v>
      </c>
      <c r="E16" s="285">
        <f>SUM(C16:D16)</f>
        <v>200011</v>
      </c>
      <c r="F16" s="315">
        <f>ROUND('[1]ESF'!F7,0)</f>
        <v>40706</v>
      </c>
      <c r="G16" s="316">
        <f>ROUND('[1]ESF'!G7,0)</f>
        <v>1593</v>
      </c>
      <c r="H16" s="316">
        <f>ROUND('[1]ESF'!H7,0)</f>
        <v>40487</v>
      </c>
      <c r="I16" s="315"/>
      <c r="J16" s="285">
        <f>SUM(H16:I16)</f>
        <v>40487</v>
      </c>
      <c r="K16" s="285">
        <f>SUM(F16,G16,J16)</f>
        <v>82786</v>
      </c>
      <c r="L16" s="285">
        <f>SUM(E16,K16)</f>
        <v>282797</v>
      </c>
      <c r="M16" s="285"/>
      <c r="N16" s="316">
        <f>ROUND('[1]ESF'!N7,0)</f>
        <v>282796</v>
      </c>
      <c r="O16" s="286">
        <f>'[1]ESF'!O7</f>
        <v>126.43</v>
      </c>
      <c r="P16"/>
      <c r="Q16"/>
      <c r="R16"/>
      <c r="S16"/>
    </row>
    <row r="17" spans="1:19" s="161" customFormat="1" ht="12.75">
      <c r="A17" s="190" t="s">
        <v>153</v>
      </c>
      <c r="B17" s="191" t="s">
        <v>154</v>
      </c>
      <c r="C17" s="103">
        <v>19888</v>
      </c>
      <c r="D17" s="192">
        <v>1364</v>
      </c>
      <c r="E17" s="188">
        <f>SUM(C17:D17)</f>
        <v>21252</v>
      </c>
      <c r="F17" s="122">
        <v>7226</v>
      </c>
      <c r="G17" s="103">
        <v>398</v>
      </c>
      <c r="H17" s="103">
        <v>4411</v>
      </c>
      <c r="I17" s="193"/>
      <c r="J17" s="188">
        <f>SUM(H17:I17)</f>
        <v>4411</v>
      </c>
      <c r="K17" s="188">
        <f>SUM(F17,G17,J17)</f>
        <v>12035</v>
      </c>
      <c r="L17" s="194">
        <f>SUM(E17,K17)</f>
        <v>33287</v>
      </c>
      <c r="M17" s="194">
        <v>3150</v>
      </c>
      <c r="N17" s="194">
        <f>SUM(L17,M17)</f>
        <v>36437</v>
      </c>
      <c r="O17" s="195">
        <v>75.03</v>
      </c>
      <c r="P17"/>
      <c r="Q17"/>
      <c r="R17"/>
      <c r="S17"/>
    </row>
    <row r="18" spans="1:15" ht="12.75">
      <c r="A18" s="190" t="s">
        <v>155</v>
      </c>
      <c r="B18" s="191" t="s">
        <v>156</v>
      </c>
      <c r="C18" s="103">
        <v>2213</v>
      </c>
      <c r="D18" s="192">
        <v>966</v>
      </c>
      <c r="E18" s="188">
        <f>SUM(C18:D18)</f>
        <v>3179</v>
      </c>
      <c r="F18" s="122">
        <v>822</v>
      </c>
      <c r="G18" s="103">
        <v>44</v>
      </c>
      <c r="H18" s="103">
        <v>1570</v>
      </c>
      <c r="I18" s="193"/>
      <c r="J18" s="188">
        <f>SUM(H18:I18)</f>
        <v>1570</v>
      </c>
      <c r="K18" s="188">
        <f>SUM(F18,G18,J18)</f>
        <v>2436</v>
      </c>
      <c r="L18" s="194">
        <f>SUM(E18,K18)</f>
        <v>5615</v>
      </c>
      <c r="M18" s="194"/>
      <c r="N18" s="194">
        <f>SUM(L18,M18)</f>
        <v>5615</v>
      </c>
      <c r="O18" s="195">
        <v>6.56</v>
      </c>
    </row>
    <row r="19" spans="1:15" ht="26.25" thickBot="1">
      <c r="A19" s="190" t="s">
        <v>157</v>
      </c>
      <c r="B19" s="191" t="s">
        <v>158</v>
      </c>
      <c r="C19" s="103">
        <v>569</v>
      </c>
      <c r="D19" s="192">
        <v>430</v>
      </c>
      <c r="E19" s="188">
        <f>SUM(C19:D19)</f>
        <v>999</v>
      </c>
      <c r="F19" s="122">
        <v>268</v>
      </c>
      <c r="G19" s="103">
        <v>12</v>
      </c>
      <c r="H19" s="103">
        <v>1833</v>
      </c>
      <c r="I19" s="193"/>
      <c r="J19" s="188">
        <f>SUM(H19:I19)</f>
        <v>1833</v>
      </c>
      <c r="K19" s="188">
        <f>SUM(F19,G19,J19)</f>
        <v>2113</v>
      </c>
      <c r="L19" s="194">
        <f>SUM(E19,K19)</f>
        <v>3112</v>
      </c>
      <c r="M19" s="194"/>
      <c r="N19" s="194">
        <f>SUM(L19,M19)</f>
        <v>3112</v>
      </c>
      <c r="O19" s="195">
        <v>1.63</v>
      </c>
    </row>
    <row r="20" spans="1:15" ht="14.25" customHeight="1" thickBot="1">
      <c r="A20" s="197"/>
      <c r="B20" s="198" t="s">
        <v>159</v>
      </c>
      <c r="C20" s="201">
        <f aca="true" t="shared" si="6" ref="C20:O20">SUM(C16:C19)</f>
        <v>100965</v>
      </c>
      <c r="D20" s="208">
        <f t="shared" si="6"/>
        <v>124476</v>
      </c>
      <c r="E20" s="199">
        <f t="shared" si="6"/>
        <v>225441</v>
      </c>
      <c r="F20" s="209">
        <f t="shared" si="6"/>
        <v>49022</v>
      </c>
      <c r="G20" s="201">
        <f t="shared" si="6"/>
        <v>2047</v>
      </c>
      <c r="H20" s="201">
        <f t="shared" si="6"/>
        <v>48301</v>
      </c>
      <c r="I20" s="201">
        <f t="shared" si="6"/>
        <v>0</v>
      </c>
      <c r="J20" s="199">
        <f t="shared" si="6"/>
        <v>48301</v>
      </c>
      <c r="K20" s="199">
        <f t="shared" si="6"/>
        <v>99370</v>
      </c>
      <c r="L20" s="199">
        <f t="shared" si="6"/>
        <v>324811</v>
      </c>
      <c r="M20" s="199">
        <f t="shared" si="6"/>
        <v>3150</v>
      </c>
      <c r="N20" s="199">
        <f t="shared" si="6"/>
        <v>327960</v>
      </c>
      <c r="O20" s="200">
        <f t="shared" si="6"/>
        <v>209.65</v>
      </c>
    </row>
    <row r="21" spans="1:15" ht="13.5" thickBot="1">
      <c r="A21" s="283"/>
      <c r="B21" s="284" t="s">
        <v>190</v>
      </c>
      <c r="C21" s="314">
        <f>ROUND('[1]ESF'!C8,0)</f>
        <v>15500</v>
      </c>
      <c r="D21" s="315">
        <f>ROUND('[1]ESF'!D8,0)</f>
        <v>11215</v>
      </c>
      <c r="E21" s="285">
        <f>SUM(C21:D21)</f>
        <v>26715</v>
      </c>
      <c r="F21" s="315">
        <f>ROUND('[1]ESF'!F8,0)</f>
        <v>7988</v>
      </c>
      <c r="G21" s="316">
        <f>ROUND('[1]ESF'!G8,0)</f>
        <v>324</v>
      </c>
      <c r="H21" s="316">
        <f>ROUND('[1]ESF'!H8,0)</f>
        <v>7609</v>
      </c>
      <c r="I21" s="315"/>
      <c r="J21" s="285">
        <f>SUM(H21:I21)</f>
        <v>7609</v>
      </c>
      <c r="K21" s="285">
        <f>SUM(F21,G21,J21)</f>
        <v>15921</v>
      </c>
      <c r="L21" s="285">
        <f>SUM(E21,K21)</f>
        <v>42636</v>
      </c>
      <c r="M21" s="285"/>
      <c r="N21" s="316">
        <f>ROUND('[1]ESF'!N8,0)</f>
        <v>42636</v>
      </c>
      <c r="O21" s="286">
        <f>'[1]ESF'!O8</f>
        <v>27.1</v>
      </c>
    </row>
    <row r="22" spans="1:15" ht="12.75">
      <c r="A22" s="190" t="s">
        <v>160</v>
      </c>
      <c r="B22" s="191" t="s">
        <v>161</v>
      </c>
      <c r="C22" s="122">
        <v>13980</v>
      </c>
      <c r="D22" s="192">
        <v>2259</v>
      </c>
      <c r="E22" s="188">
        <f>SUM(C22:D22)</f>
        <v>16239</v>
      </c>
      <c r="F22" s="122">
        <v>4864</v>
      </c>
      <c r="G22" s="103">
        <v>279</v>
      </c>
      <c r="H22" s="103">
        <v>6304</v>
      </c>
      <c r="I22" s="193"/>
      <c r="J22" s="188">
        <f>SUM(H22:I22)</f>
        <v>6304</v>
      </c>
      <c r="K22" s="188">
        <f>SUM(F22,G22,J22)</f>
        <v>11447</v>
      </c>
      <c r="L22" s="194">
        <f>SUM(E22,K22)</f>
        <v>27686</v>
      </c>
      <c r="M22" s="194">
        <v>29</v>
      </c>
      <c r="N22" s="194">
        <f>SUM(L22,M22)</f>
        <v>27715</v>
      </c>
      <c r="O22" s="195">
        <v>44.8</v>
      </c>
    </row>
    <row r="23" spans="1:15" ht="12.75">
      <c r="A23" s="190" t="s">
        <v>162</v>
      </c>
      <c r="B23" s="191" t="s">
        <v>163</v>
      </c>
      <c r="C23" s="122"/>
      <c r="D23" s="192">
        <v>2829</v>
      </c>
      <c r="E23" s="188">
        <f>SUM(C23:D23)</f>
        <v>2829</v>
      </c>
      <c r="F23" s="122">
        <v>76</v>
      </c>
      <c r="G23" s="103"/>
      <c r="H23" s="103">
        <v>1026</v>
      </c>
      <c r="I23" s="193"/>
      <c r="J23" s="188">
        <f>SUM(H23:I23)</f>
        <v>1026</v>
      </c>
      <c r="K23" s="188">
        <f>SUM(F23,G23,J23)</f>
        <v>1102</v>
      </c>
      <c r="L23" s="194">
        <f>SUM(E23,K23)</f>
        <v>3931</v>
      </c>
      <c r="M23" s="194"/>
      <c r="N23" s="194">
        <f>SUM(L23,M23)</f>
        <v>3931</v>
      </c>
      <c r="O23" s="195"/>
    </row>
    <row r="24" spans="1:15" ht="29.25" customHeight="1">
      <c r="A24" s="190" t="s">
        <v>164</v>
      </c>
      <c r="B24" s="191" t="s">
        <v>165</v>
      </c>
      <c r="C24" s="122"/>
      <c r="D24" s="192">
        <v>250</v>
      </c>
      <c r="E24" s="188">
        <f>SUM(C24:D24)</f>
        <v>250</v>
      </c>
      <c r="F24" s="122">
        <v>79</v>
      </c>
      <c r="G24" s="103"/>
      <c r="H24" s="103">
        <v>262</v>
      </c>
      <c r="I24" s="193"/>
      <c r="J24" s="188">
        <f>SUM(H24:I24)</f>
        <v>262</v>
      </c>
      <c r="K24" s="188">
        <f>SUM(F24,G24,J24)</f>
        <v>341</v>
      </c>
      <c r="L24" s="194">
        <f>SUM(E24,K24)</f>
        <v>591</v>
      </c>
      <c r="M24" s="194"/>
      <c r="N24" s="194">
        <f>SUM(L24,M24)</f>
        <v>591</v>
      </c>
      <c r="O24" s="195"/>
    </row>
    <row r="25" spans="1:15" ht="13.5" thickBot="1">
      <c r="A25" s="190" t="s">
        <v>185</v>
      </c>
      <c r="B25" s="191" t="s">
        <v>201</v>
      </c>
      <c r="C25" s="122"/>
      <c r="D25" s="192">
        <v>310</v>
      </c>
      <c r="E25" s="188">
        <f>SUM(C25:D25)</f>
        <v>310</v>
      </c>
      <c r="F25" s="122">
        <v>40</v>
      </c>
      <c r="G25" s="103"/>
      <c r="H25" s="103">
        <v>1300</v>
      </c>
      <c r="I25" s="193"/>
      <c r="J25" s="188">
        <f>SUM(H25:I25)</f>
        <v>1300</v>
      </c>
      <c r="K25" s="188">
        <f>SUM(F25,G25,J25)</f>
        <v>1340</v>
      </c>
      <c r="L25" s="194">
        <f>SUM(E25,K25)</f>
        <v>1650</v>
      </c>
      <c r="M25" s="194"/>
      <c r="N25" s="194">
        <f>SUM(L25,M25)</f>
        <v>1650</v>
      </c>
      <c r="O25" s="195"/>
    </row>
    <row r="26" spans="1:15" ht="14.25" customHeight="1" thickBot="1">
      <c r="A26" s="197"/>
      <c r="B26" s="198" t="s">
        <v>166</v>
      </c>
      <c r="C26" s="209">
        <f aca="true" t="shared" si="7" ref="C26:O26">SUM(C21:C25)</f>
        <v>29480</v>
      </c>
      <c r="D26" s="208">
        <f t="shared" si="7"/>
        <v>16863</v>
      </c>
      <c r="E26" s="199">
        <f t="shared" si="7"/>
        <v>46343</v>
      </c>
      <c r="F26" s="209">
        <f t="shared" si="7"/>
        <v>13047</v>
      </c>
      <c r="G26" s="201">
        <f t="shared" si="7"/>
        <v>603</v>
      </c>
      <c r="H26" s="201">
        <f t="shared" si="7"/>
        <v>16501</v>
      </c>
      <c r="I26" s="201">
        <f t="shared" si="7"/>
        <v>0</v>
      </c>
      <c r="J26" s="199">
        <f t="shared" si="7"/>
        <v>16501</v>
      </c>
      <c r="K26" s="199">
        <f t="shared" si="7"/>
        <v>30151</v>
      </c>
      <c r="L26" s="199">
        <f t="shared" si="7"/>
        <v>76494</v>
      </c>
      <c r="M26" s="199">
        <f t="shared" si="7"/>
        <v>29</v>
      </c>
      <c r="N26" s="199">
        <f t="shared" si="7"/>
        <v>76523</v>
      </c>
      <c r="O26" s="200">
        <f t="shared" si="7"/>
        <v>71.9</v>
      </c>
    </row>
    <row r="27" spans="1:19" s="161" customFormat="1" ht="13.5" thickBot="1">
      <c r="A27" s="283"/>
      <c r="B27" s="284" t="s">
        <v>191</v>
      </c>
      <c r="C27" s="314">
        <f>ROUND('[1]ESF'!C9,0)</f>
        <v>16055</v>
      </c>
      <c r="D27" s="315">
        <f>ROUND('[1]ESF'!D9,0)</f>
        <v>40517</v>
      </c>
      <c r="E27" s="285">
        <f>SUM(C27:D27)</f>
        <v>56572</v>
      </c>
      <c r="F27" s="315">
        <f>ROUND('[1]ESF'!F9,0)</f>
        <v>15138</v>
      </c>
      <c r="G27" s="316">
        <f>ROUND('[1]ESF'!G9,0)</f>
        <v>346</v>
      </c>
      <c r="H27" s="316">
        <f>ROUND('[1]ESF'!H9,0)</f>
        <v>13848</v>
      </c>
      <c r="I27" s="315"/>
      <c r="J27" s="285">
        <f>SUM(H27:I27)</f>
        <v>13848</v>
      </c>
      <c r="K27" s="285">
        <f>SUM(F27,G27,J27)</f>
        <v>29332</v>
      </c>
      <c r="L27" s="285">
        <f>SUM(E27,K27)</f>
        <v>85904</v>
      </c>
      <c r="M27" s="285"/>
      <c r="N27" s="316">
        <f>ROUND('[1]ESF'!N9,0)</f>
        <v>85905</v>
      </c>
      <c r="O27" s="286">
        <f>'[1]ESF'!O9</f>
        <v>41.6</v>
      </c>
      <c r="P27"/>
      <c r="Q27"/>
      <c r="R27"/>
      <c r="S27"/>
    </row>
    <row r="28" spans="1:19" s="161" customFormat="1" ht="25.5">
      <c r="A28" s="210" t="s">
        <v>167</v>
      </c>
      <c r="B28" s="211" t="s">
        <v>168</v>
      </c>
      <c r="C28" s="212">
        <v>21793</v>
      </c>
      <c r="D28" s="213">
        <v>12400</v>
      </c>
      <c r="E28" s="188">
        <f>SUM(C28:D28)</f>
        <v>34193</v>
      </c>
      <c r="F28" s="122">
        <v>8979</v>
      </c>
      <c r="G28" s="103">
        <v>425</v>
      </c>
      <c r="H28" s="103">
        <v>12611</v>
      </c>
      <c r="I28" s="103"/>
      <c r="J28" s="188">
        <f>SUM(H28:I28)</f>
        <v>12611</v>
      </c>
      <c r="K28" s="188">
        <f>SUM(F28,G28,J28)</f>
        <v>22015</v>
      </c>
      <c r="L28" s="194">
        <f>SUM(E28,K28)</f>
        <v>56208</v>
      </c>
      <c r="M28" s="194">
        <v>16175</v>
      </c>
      <c r="N28" s="194">
        <f>SUM(L28,M28)</f>
        <v>72383</v>
      </c>
      <c r="O28" s="215">
        <v>77.94</v>
      </c>
      <c r="P28"/>
      <c r="Q28"/>
      <c r="R28"/>
      <c r="S28"/>
    </row>
    <row r="29" spans="1:19" s="161" customFormat="1" ht="13.5" thickBot="1">
      <c r="A29" s="210" t="s">
        <v>186</v>
      </c>
      <c r="B29" s="211" t="s">
        <v>187</v>
      </c>
      <c r="C29" s="212">
        <v>1456</v>
      </c>
      <c r="D29" s="213"/>
      <c r="E29" s="188">
        <f>SUM(C29:D29)</f>
        <v>1456</v>
      </c>
      <c r="F29" s="122"/>
      <c r="G29" s="103"/>
      <c r="H29" s="103"/>
      <c r="I29" s="103"/>
      <c r="J29" s="188">
        <f>SUM(H29:I29)</f>
        <v>0</v>
      </c>
      <c r="K29" s="188">
        <f>SUM(F29,G29,J29)</f>
        <v>0</v>
      </c>
      <c r="L29" s="194">
        <f>SUM(E29,K29)</f>
        <v>1456</v>
      </c>
      <c r="M29" s="194"/>
      <c r="N29" s="194">
        <f>SUM(L29,M29)</f>
        <v>1456</v>
      </c>
      <c r="O29" s="215">
        <v>5</v>
      </c>
      <c r="P29"/>
      <c r="Q29"/>
      <c r="R29"/>
      <c r="S29"/>
    </row>
    <row r="30" spans="1:15" ht="14.25" customHeight="1" thickBot="1">
      <c r="A30" s="197"/>
      <c r="B30" s="198" t="s">
        <v>169</v>
      </c>
      <c r="C30" s="201">
        <f aca="true" t="shared" si="8" ref="C30:O30">SUM(C27:C29)</f>
        <v>39304</v>
      </c>
      <c r="D30" s="208">
        <f t="shared" si="8"/>
        <v>52917</v>
      </c>
      <c r="E30" s="199">
        <f t="shared" si="8"/>
        <v>92221</v>
      </c>
      <c r="F30" s="209">
        <f t="shared" si="8"/>
        <v>24117</v>
      </c>
      <c r="G30" s="201">
        <f t="shared" si="8"/>
        <v>771</v>
      </c>
      <c r="H30" s="201">
        <f t="shared" si="8"/>
        <v>26459</v>
      </c>
      <c r="I30" s="201">
        <f t="shared" si="8"/>
        <v>0</v>
      </c>
      <c r="J30" s="199">
        <f t="shared" si="8"/>
        <v>26459</v>
      </c>
      <c r="K30" s="199">
        <f t="shared" si="8"/>
        <v>51347</v>
      </c>
      <c r="L30" s="199">
        <f t="shared" si="8"/>
        <v>143568</v>
      </c>
      <c r="M30" s="199">
        <f t="shared" si="8"/>
        <v>16175</v>
      </c>
      <c r="N30" s="199">
        <f t="shared" si="8"/>
        <v>159744</v>
      </c>
      <c r="O30" s="200">
        <f t="shared" si="8"/>
        <v>124.53999999999999</v>
      </c>
    </row>
    <row r="31" spans="1:15" ht="14.25" customHeight="1" thickBot="1">
      <c r="A31" s="283"/>
      <c r="B31" s="284" t="s">
        <v>192</v>
      </c>
      <c r="C31" s="314">
        <v>0</v>
      </c>
      <c r="D31" s="315">
        <v>0</v>
      </c>
      <c r="E31" s="285">
        <v>0</v>
      </c>
      <c r="F31" s="314"/>
      <c r="G31" s="316"/>
      <c r="H31" s="316">
        <v>88</v>
      </c>
      <c r="I31" s="315"/>
      <c r="J31" s="285">
        <v>88</v>
      </c>
      <c r="K31" s="285">
        <v>88</v>
      </c>
      <c r="L31" s="285">
        <v>88</v>
      </c>
      <c r="M31" s="285"/>
      <c r="N31" s="285">
        <v>88</v>
      </c>
      <c r="O31" s="286"/>
    </row>
    <row r="32" spans="1:15" ht="14.25" customHeight="1" thickBot="1">
      <c r="A32" s="268" t="s">
        <v>170</v>
      </c>
      <c r="B32" s="269" t="s">
        <v>171</v>
      </c>
      <c r="C32" s="270"/>
      <c r="D32" s="271"/>
      <c r="E32" s="272">
        <f>SUM(C32:D32)</f>
        <v>0</v>
      </c>
      <c r="F32" s="273"/>
      <c r="G32" s="270"/>
      <c r="H32" s="270">
        <v>2250</v>
      </c>
      <c r="I32" s="270"/>
      <c r="J32" s="272">
        <f>SUM(H32:I32)</f>
        <v>2250</v>
      </c>
      <c r="K32" s="272">
        <f>SUM(F32,G32,J32)</f>
        <v>2250</v>
      </c>
      <c r="L32" s="274">
        <f>SUM(E32,K32)</f>
        <v>2250</v>
      </c>
      <c r="M32" s="274">
        <v>6850</v>
      </c>
      <c r="N32" s="274">
        <f>SUM(L32,M32)</f>
        <v>9100</v>
      </c>
      <c r="O32" s="275"/>
    </row>
    <row r="33" spans="1:15" ht="14.25" customHeight="1" thickBot="1">
      <c r="A33" s="197"/>
      <c r="B33" s="198" t="s">
        <v>172</v>
      </c>
      <c r="C33" s="201">
        <f aca="true" t="shared" si="9" ref="C33:O33">SUM(C31:C32)</f>
        <v>0</v>
      </c>
      <c r="D33" s="201">
        <f t="shared" si="9"/>
        <v>0</v>
      </c>
      <c r="E33" s="201">
        <f t="shared" si="9"/>
        <v>0</v>
      </c>
      <c r="F33" s="201">
        <f t="shared" si="9"/>
        <v>0</v>
      </c>
      <c r="G33" s="201">
        <f t="shared" si="9"/>
        <v>0</v>
      </c>
      <c r="H33" s="201">
        <f t="shared" si="9"/>
        <v>2338</v>
      </c>
      <c r="I33" s="201">
        <f t="shared" si="9"/>
        <v>0</v>
      </c>
      <c r="J33" s="201">
        <f t="shared" si="9"/>
        <v>2338</v>
      </c>
      <c r="K33" s="201">
        <f t="shared" si="9"/>
        <v>2338</v>
      </c>
      <c r="L33" s="201">
        <f t="shared" si="9"/>
        <v>2338</v>
      </c>
      <c r="M33" s="201">
        <f t="shared" si="9"/>
        <v>6850</v>
      </c>
      <c r="N33" s="201">
        <f t="shared" si="9"/>
        <v>9188</v>
      </c>
      <c r="O33" s="411">
        <f t="shared" si="9"/>
        <v>0</v>
      </c>
    </row>
    <row r="34" spans="1:15" ht="27.75" customHeight="1" thickBot="1">
      <c r="A34" s="216"/>
      <c r="B34" s="217" t="s">
        <v>173</v>
      </c>
      <c r="C34" s="218">
        <f aca="true" t="shared" si="10" ref="C34:O34">C12+C15+C20+C26+C30+C33</f>
        <v>183186</v>
      </c>
      <c r="D34" s="218">
        <f t="shared" si="10"/>
        <v>287402</v>
      </c>
      <c r="E34" s="218">
        <f t="shared" si="10"/>
        <v>470588</v>
      </c>
      <c r="F34" s="218">
        <f t="shared" si="10"/>
        <v>120766</v>
      </c>
      <c r="G34" s="218">
        <f t="shared" si="10"/>
        <v>3866</v>
      </c>
      <c r="H34" s="218">
        <f t="shared" si="10"/>
        <v>112175</v>
      </c>
      <c r="I34" s="218">
        <f t="shared" si="10"/>
        <v>0</v>
      </c>
      <c r="J34" s="218">
        <f t="shared" si="10"/>
        <v>112175</v>
      </c>
      <c r="K34" s="218">
        <f t="shared" si="10"/>
        <v>236807</v>
      </c>
      <c r="L34" s="218">
        <f t="shared" si="10"/>
        <v>707395</v>
      </c>
      <c r="M34" s="218">
        <f t="shared" si="10"/>
        <v>30189</v>
      </c>
      <c r="N34" s="218">
        <f>N12+N15+N20+N26+N30+N33</f>
        <v>737584</v>
      </c>
      <c r="O34" s="395">
        <f t="shared" si="10"/>
        <v>448</v>
      </c>
    </row>
  </sheetData>
  <sheetProtection/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214"/>
  <sheetViews>
    <sheetView zoomScale="80" zoomScaleNormal="80" zoomScalePageLayoutView="0" workbookViewId="0" topLeftCell="A22">
      <selection activeCell="G48" sqref="G48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7.8515625" style="1" customWidth="1"/>
    <col min="4" max="4" width="13.140625" style="1" customWidth="1"/>
    <col min="5" max="5" width="12.28125" style="1" customWidth="1"/>
    <col min="6" max="6" width="11.421875" style="1" customWidth="1"/>
    <col min="7" max="7" width="15.00390625" style="1" customWidth="1"/>
    <col min="8" max="8" width="11.57421875" style="1" customWidth="1"/>
    <col min="9" max="9" width="11.8515625" style="1" customWidth="1"/>
    <col min="10" max="16384" width="9.140625" style="1" customWidth="1"/>
  </cols>
  <sheetData>
    <row r="1" spans="8:9" ht="15.75">
      <c r="H1" s="2" t="s">
        <v>119</v>
      </c>
      <c r="I1" s="37"/>
    </row>
    <row r="2" ht="15.75">
      <c r="B2" s="3" t="s">
        <v>24</v>
      </c>
    </row>
    <row r="3" ht="13.5" thickBot="1">
      <c r="H3" s="4" t="s">
        <v>1</v>
      </c>
    </row>
    <row r="4" spans="2:11" ht="45" customHeight="1" thickBot="1">
      <c r="B4" s="5" t="s">
        <v>3</v>
      </c>
      <c r="C4" s="299" t="s">
        <v>18</v>
      </c>
      <c r="D4" s="300" t="s">
        <v>205</v>
      </c>
      <c r="E4" s="6" t="s">
        <v>217</v>
      </c>
      <c r="F4" s="77" t="s">
        <v>194</v>
      </c>
      <c r="G4" s="5" t="s">
        <v>25</v>
      </c>
      <c r="H4" s="5" t="s">
        <v>218</v>
      </c>
      <c r="I4" s="299" t="s">
        <v>219</v>
      </c>
      <c r="J4" s="7"/>
      <c r="K4" s="7"/>
    </row>
    <row r="5" spans="2:9" ht="13.5" thickBot="1">
      <c r="B5" s="45"/>
      <c r="C5" s="78"/>
      <c r="D5" s="79"/>
      <c r="E5" s="11">
        <v>1</v>
      </c>
      <c r="F5" s="80">
        <v>2</v>
      </c>
      <c r="G5" s="10">
        <v>3</v>
      </c>
      <c r="H5" s="80">
        <v>4</v>
      </c>
      <c r="I5" s="10">
        <v>5</v>
      </c>
    </row>
    <row r="6" spans="2:11" ht="12.75">
      <c r="B6" s="233" t="s">
        <v>4</v>
      </c>
      <c r="C6" s="237">
        <v>911</v>
      </c>
      <c r="D6" s="81">
        <v>544</v>
      </c>
      <c r="E6" s="81">
        <v>544</v>
      </c>
      <c r="F6" s="13"/>
      <c r="G6" s="13"/>
      <c r="H6" s="13">
        <f aca="true" t="shared" si="0" ref="H6:H11">E6+F6-G6</f>
        <v>544</v>
      </c>
      <c r="I6" s="14">
        <f aca="true" t="shared" si="1" ref="I6:I11">H6-E6</f>
        <v>0</v>
      </c>
      <c r="K6" s="15"/>
    </row>
    <row r="7" spans="2:254" s="56" customFormat="1" ht="12.75">
      <c r="B7" s="234" t="s">
        <v>5</v>
      </c>
      <c r="C7" s="238">
        <v>911</v>
      </c>
      <c r="D7" s="82">
        <v>57</v>
      </c>
      <c r="E7" s="82">
        <v>259</v>
      </c>
      <c r="F7" s="220"/>
      <c r="G7" s="53"/>
      <c r="H7" s="53">
        <f t="shared" si="0"/>
        <v>259</v>
      </c>
      <c r="I7" s="83">
        <f t="shared" si="1"/>
        <v>0</v>
      </c>
      <c r="J7" s="1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2:254" s="56" customFormat="1" ht="12.75">
      <c r="B8" s="234" t="s">
        <v>6</v>
      </c>
      <c r="C8" s="238">
        <v>911</v>
      </c>
      <c r="D8" s="82">
        <v>264.215</v>
      </c>
      <c r="E8" s="82">
        <v>2.765</v>
      </c>
      <c r="F8" s="220">
        <v>200</v>
      </c>
      <c r="G8" s="53"/>
      <c r="H8" s="53">
        <f t="shared" si="0"/>
        <v>202.765</v>
      </c>
      <c r="I8" s="83">
        <f t="shared" si="1"/>
        <v>200</v>
      </c>
      <c r="J8" s="1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2:254" s="56" customFormat="1" ht="12.75">
      <c r="B9" s="234" t="s">
        <v>7</v>
      </c>
      <c r="C9" s="238">
        <v>911</v>
      </c>
      <c r="D9" s="82">
        <v>1418.706</v>
      </c>
      <c r="E9" s="82">
        <v>920.739</v>
      </c>
      <c r="F9" s="220">
        <v>323</v>
      </c>
      <c r="G9" s="53">
        <v>120.059</v>
      </c>
      <c r="H9" s="53">
        <f t="shared" si="0"/>
        <v>1123.68</v>
      </c>
      <c r="I9" s="83">
        <f t="shared" si="1"/>
        <v>202.94100000000003</v>
      </c>
      <c r="J9" s="1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2:254" s="56" customFormat="1" ht="12.75">
      <c r="B10" s="235" t="s">
        <v>8</v>
      </c>
      <c r="C10" s="238">
        <v>911</v>
      </c>
      <c r="D10" s="82">
        <v>52.681</v>
      </c>
      <c r="E10" s="82">
        <v>1052.681</v>
      </c>
      <c r="F10" s="220">
        <v>616</v>
      </c>
      <c r="G10" s="53">
        <v>1172.222</v>
      </c>
      <c r="H10" s="53">
        <f t="shared" si="0"/>
        <v>496.45900000000006</v>
      </c>
      <c r="I10" s="83">
        <f t="shared" si="1"/>
        <v>-556.222</v>
      </c>
      <c r="J10" s="1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2:254" s="56" customFormat="1" ht="13.5" thickBot="1">
      <c r="B11" s="234" t="s">
        <v>306</v>
      </c>
      <c r="C11" s="238">
        <v>911</v>
      </c>
      <c r="D11" s="82"/>
      <c r="E11" s="82"/>
      <c r="F11" s="54"/>
      <c r="G11" s="54"/>
      <c r="H11" s="54">
        <f t="shared" si="0"/>
        <v>0</v>
      </c>
      <c r="I11" s="83">
        <f t="shared" si="1"/>
        <v>0</v>
      </c>
      <c r="J11" s="1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2:254" s="56" customFormat="1" ht="16.5" customHeight="1" thickBot="1">
      <c r="B12" s="236" t="s">
        <v>16</v>
      </c>
      <c r="C12" s="84">
        <v>911</v>
      </c>
      <c r="D12" s="85">
        <f aca="true" t="shared" si="2" ref="D12:I12">SUM(D6:D11)</f>
        <v>2336.602</v>
      </c>
      <c r="E12" s="85">
        <f t="shared" si="2"/>
        <v>2779.185</v>
      </c>
      <c r="F12" s="86">
        <f t="shared" si="2"/>
        <v>1139</v>
      </c>
      <c r="G12" s="86">
        <f t="shared" si="2"/>
        <v>1292.281</v>
      </c>
      <c r="H12" s="86">
        <f t="shared" si="2"/>
        <v>2625.9040000000005</v>
      </c>
      <c r="I12" s="86">
        <f t="shared" si="2"/>
        <v>-153.28099999999995</v>
      </c>
      <c r="J12" s="1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7:11" ht="13.5" thickBot="1">
      <c r="G13" s="48"/>
      <c r="K13" s="15"/>
    </row>
    <row r="14" spans="2:11" ht="43.5" customHeight="1" thickBot="1">
      <c r="B14" s="5" t="s">
        <v>21</v>
      </c>
      <c r="C14" s="299" t="s">
        <v>18</v>
      </c>
      <c r="D14" s="300" t="s">
        <v>205</v>
      </c>
      <c r="E14" s="6" t="s">
        <v>217</v>
      </c>
      <c r="F14" s="77" t="s">
        <v>194</v>
      </c>
      <c r="G14" s="453" t="s">
        <v>25</v>
      </c>
      <c r="H14" s="5" t="s">
        <v>218</v>
      </c>
      <c r="I14" s="299" t="s">
        <v>219</v>
      </c>
      <c r="K14" s="15"/>
    </row>
    <row r="15" spans="2:9" ht="13.5" thickBot="1">
      <c r="B15" s="45"/>
      <c r="C15" s="78"/>
      <c r="D15" s="79"/>
      <c r="E15" s="11">
        <v>1</v>
      </c>
      <c r="F15" s="80">
        <v>2</v>
      </c>
      <c r="G15" s="454">
        <v>3</v>
      </c>
      <c r="H15" s="80">
        <v>4</v>
      </c>
      <c r="I15" s="10">
        <v>5</v>
      </c>
    </row>
    <row r="16" spans="2:11" ht="12.75">
      <c r="B16" s="233" t="s">
        <v>4</v>
      </c>
      <c r="C16" s="237">
        <v>912</v>
      </c>
      <c r="D16" s="81">
        <v>130.689</v>
      </c>
      <c r="E16" s="13">
        <v>130.689</v>
      </c>
      <c r="F16" s="13">
        <v>214.969</v>
      </c>
      <c r="G16" s="13">
        <v>177.069</v>
      </c>
      <c r="H16" s="13">
        <f aca="true" t="shared" si="3" ref="H16:H21">E16+F16-G16</f>
        <v>168.58900000000003</v>
      </c>
      <c r="I16" s="14">
        <f aca="true" t="shared" si="4" ref="I16:I21">H16-E16</f>
        <v>37.900000000000034</v>
      </c>
      <c r="K16" s="15"/>
    </row>
    <row r="17" spans="2:254" s="56" customFormat="1" ht="12.75">
      <c r="B17" s="234" t="s">
        <v>5</v>
      </c>
      <c r="C17" s="238">
        <v>912</v>
      </c>
      <c r="D17" s="82">
        <v>87</v>
      </c>
      <c r="E17" s="53">
        <v>59</v>
      </c>
      <c r="F17" s="53">
        <v>51</v>
      </c>
      <c r="G17" s="53">
        <v>23</v>
      </c>
      <c r="H17" s="53">
        <f>E17+F17-G17</f>
        <v>87</v>
      </c>
      <c r="I17" s="83">
        <f t="shared" si="4"/>
        <v>28</v>
      </c>
      <c r="J17" s="1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2:254" s="56" customFormat="1" ht="12.75">
      <c r="B18" s="234" t="s">
        <v>6</v>
      </c>
      <c r="C18" s="238">
        <v>912</v>
      </c>
      <c r="D18" s="82">
        <v>713.509</v>
      </c>
      <c r="E18" s="53">
        <v>758.059</v>
      </c>
      <c r="F18" s="53">
        <v>995.472</v>
      </c>
      <c r="G18" s="53">
        <v>1569.421</v>
      </c>
      <c r="H18" s="53">
        <f t="shared" si="3"/>
        <v>184.1099999999999</v>
      </c>
      <c r="I18" s="83">
        <f t="shared" si="4"/>
        <v>-573.9490000000001</v>
      </c>
      <c r="J18" s="1"/>
      <c r="K18" s="1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2:254" s="56" customFormat="1" ht="12.75">
      <c r="B19" s="234" t="s">
        <v>7</v>
      </c>
      <c r="C19" s="238">
        <v>912</v>
      </c>
      <c r="D19" s="82">
        <v>426.758</v>
      </c>
      <c r="E19" s="53">
        <v>172.831</v>
      </c>
      <c r="F19" s="53">
        <v>481.023</v>
      </c>
      <c r="G19" s="53">
        <v>369.065</v>
      </c>
      <c r="H19" s="53">
        <f t="shared" si="3"/>
        <v>284.78900000000004</v>
      </c>
      <c r="I19" s="83">
        <f t="shared" si="4"/>
        <v>111.95800000000006</v>
      </c>
      <c r="J19" s="1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2:254" s="56" customFormat="1" ht="12.75">
      <c r="B20" s="235" t="s">
        <v>8</v>
      </c>
      <c r="C20" s="238">
        <v>912</v>
      </c>
      <c r="D20" s="82">
        <v>45.63</v>
      </c>
      <c r="E20" s="53">
        <v>159.011</v>
      </c>
      <c r="F20" s="53">
        <v>731.595</v>
      </c>
      <c r="G20" s="53">
        <v>512.04</v>
      </c>
      <c r="H20" s="53">
        <f t="shared" si="3"/>
        <v>378.56600000000003</v>
      </c>
      <c r="I20" s="83">
        <f t="shared" si="4"/>
        <v>219.55500000000004</v>
      </c>
      <c r="J20" s="1"/>
      <c r="K20" s="1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2:254" s="56" customFormat="1" ht="13.5" thickBot="1">
      <c r="B21" s="235" t="s">
        <v>9</v>
      </c>
      <c r="C21" s="238">
        <v>912</v>
      </c>
      <c r="D21" s="82"/>
      <c r="E21" s="53">
        <v>19.985</v>
      </c>
      <c r="F21" s="53">
        <v>45.273</v>
      </c>
      <c r="G21" s="53">
        <v>37.883</v>
      </c>
      <c r="H21" s="54">
        <f t="shared" si="3"/>
        <v>27.375000000000007</v>
      </c>
      <c r="I21" s="83">
        <f t="shared" si="4"/>
        <v>7.390000000000008</v>
      </c>
      <c r="J21" s="1"/>
      <c r="K21" s="1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2:254" s="56" customFormat="1" ht="13.5" thickBot="1">
      <c r="B22" s="236" t="s">
        <v>16</v>
      </c>
      <c r="C22" s="84">
        <v>912</v>
      </c>
      <c r="D22" s="85">
        <f aca="true" t="shared" si="5" ref="D22:I22">SUM(D16:D21)</f>
        <v>1403.586</v>
      </c>
      <c r="E22" s="86">
        <f t="shared" si="5"/>
        <v>1299.5749999999998</v>
      </c>
      <c r="F22" s="86">
        <f t="shared" si="5"/>
        <v>2519.3320000000003</v>
      </c>
      <c r="G22" s="86">
        <f t="shared" si="5"/>
        <v>2688.4779999999996</v>
      </c>
      <c r="H22" s="86">
        <f t="shared" si="5"/>
        <v>1130.429</v>
      </c>
      <c r="I22" s="86">
        <f t="shared" si="5"/>
        <v>-169.14599999999996</v>
      </c>
      <c r="J22" s="1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7:11" ht="13.5" thickBot="1">
      <c r="G23" s="48"/>
      <c r="K23" s="15"/>
    </row>
    <row r="24" spans="2:11" ht="43.5" customHeight="1" thickBot="1">
      <c r="B24" s="5" t="s">
        <v>11</v>
      </c>
      <c r="C24" s="299" t="s">
        <v>18</v>
      </c>
      <c r="D24" s="300" t="s">
        <v>205</v>
      </c>
      <c r="E24" s="6" t="s">
        <v>217</v>
      </c>
      <c r="F24" s="77" t="s">
        <v>194</v>
      </c>
      <c r="G24" s="453" t="s">
        <v>25</v>
      </c>
      <c r="H24" s="5" t="s">
        <v>218</v>
      </c>
      <c r="I24" s="299" t="s">
        <v>219</v>
      </c>
      <c r="K24" s="15"/>
    </row>
    <row r="25" spans="2:9" ht="13.5" thickBot="1">
      <c r="B25" s="45"/>
      <c r="C25" s="78"/>
      <c r="D25" s="79"/>
      <c r="E25" s="11">
        <v>1</v>
      </c>
      <c r="F25" s="80">
        <v>2</v>
      </c>
      <c r="G25" s="454">
        <v>3</v>
      </c>
      <c r="H25" s="80">
        <v>4</v>
      </c>
      <c r="I25" s="10">
        <v>5</v>
      </c>
    </row>
    <row r="26" spans="2:11" ht="12.75">
      <c r="B26" s="233" t="s">
        <v>4</v>
      </c>
      <c r="C26" s="237">
        <v>914</v>
      </c>
      <c r="D26" s="13">
        <v>48484.383</v>
      </c>
      <c r="E26" s="13">
        <v>48484.383</v>
      </c>
      <c r="F26" s="13">
        <f>58.415+33738.679</f>
        <v>33797.094</v>
      </c>
      <c r="G26" s="13">
        <v>45594.235</v>
      </c>
      <c r="H26" s="13">
        <f aca="true" t="shared" si="6" ref="H26:H31">E26+F26-G26</f>
        <v>36687.242</v>
      </c>
      <c r="I26" s="14">
        <f aca="true" t="shared" si="7" ref="I26:I31">H26-E26</f>
        <v>-11797.141000000003</v>
      </c>
      <c r="K26" s="15"/>
    </row>
    <row r="27" spans="2:254" s="56" customFormat="1" ht="12.75">
      <c r="B27" s="234" t="s">
        <v>5</v>
      </c>
      <c r="C27" s="238">
        <v>914</v>
      </c>
      <c r="D27" s="82">
        <v>32</v>
      </c>
      <c r="E27" s="53">
        <v>562</v>
      </c>
      <c r="F27" s="53"/>
      <c r="G27" s="53">
        <v>431</v>
      </c>
      <c r="H27" s="53">
        <f t="shared" si="6"/>
        <v>131</v>
      </c>
      <c r="I27" s="83">
        <f>H27-E27</f>
        <v>-431</v>
      </c>
      <c r="J27" s="1"/>
      <c r="K27" s="1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2:254" s="56" customFormat="1" ht="12.75">
      <c r="B28" s="234" t="s">
        <v>6</v>
      </c>
      <c r="C28" s="238">
        <v>914</v>
      </c>
      <c r="D28" s="82">
        <v>3527.132</v>
      </c>
      <c r="E28" s="53">
        <f>226.148+100335.856</f>
        <v>100562.004</v>
      </c>
      <c r="F28" s="53">
        <f>667.573+63242.631</f>
        <v>63910.204</v>
      </c>
      <c r="G28" s="53">
        <f>308.146+76657.153</f>
        <v>76965.299</v>
      </c>
      <c r="H28" s="53">
        <f t="shared" si="6"/>
        <v>87506.90899999999</v>
      </c>
      <c r="I28" s="83">
        <f t="shared" si="7"/>
        <v>-13055.095000000016</v>
      </c>
      <c r="J28" s="1"/>
      <c r="K28" s="1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2:254" s="56" customFormat="1" ht="12.75">
      <c r="B29" s="234" t="s">
        <v>7</v>
      </c>
      <c r="C29" s="238">
        <v>914</v>
      </c>
      <c r="D29" s="82">
        <v>2250.244</v>
      </c>
      <c r="E29" s="53">
        <f>2278.696+13024.886</f>
        <v>15303.582</v>
      </c>
      <c r="F29" s="53">
        <f>3133.204+8904.394</f>
        <v>12037.598</v>
      </c>
      <c r="G29" s="53">
        <v>12921.139</v>
      </c>
      <c r="H29" s="53">
        <f t="shared" si="6"/>
        <v>14420.041000000001</v>
      </c>
      <c r="I29" s="83">
        <f t="shared" si="7"/>
        <v>-883.5409999999993</v>
      </c>
      <c r="J29" s="1"/>
      <c r="K29" s="1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2:254" s="56" customFormat="1" ht="12.75">
      <c r="B30" s="235" t="s">
        <v>8</v>
      </c>
      <c r="C30" s="238">
        <v>914</v>
      </c>
      <c r="D30" s="82">
        <v>18495.382</v>
      </c>
      <c r="E30" s="53">
        <f>5126.543+15491.495</f>
        <v>20618.038</v>
      </c>
      <c r="F30" s="53">
        <f>5201.211+26558.874</f>
        <v>31760.085</v>
      </c>
      <c r="G30" s="53">
        <f>970.129+15491.495</f>
        <v>16461.624</v>
      </c>
      <c r="H30" s="53">
        <f t="shared" si="6"/>
        <v>35916.498999999996</v>
      </c>
      <c r="I30" s="83">
        <f t="shared" si="7"/>
        <v>15298.460999999996</v>
      </c>
      <c r="J30" s="1"/>
      <c r="K30" s="1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2:254" s="56" customFormat="1" ht="13.5" thickBot="1">
      <c r="B31" s="235" t="s">
        <v>9</v>
      </c>
      <c r="C31" s="238">
        <v>914</v>
      </c>
      <c r="D31" s="82"/>
      <c r="E31" s="53"/>
      <c r="F31" s="53">
        <v>400.618</v>
      </c>
      <c r="G31" s="53"/>
      <c r="H31" s="54">
        <f t="shared" si="6"/>
        <v>400.618</v>
      </c>
      <c r="I31" s="83">
        <f t="shared" si="7"/>
        <v>400.618</v>
      </c>
      <c r="J31" s="1"/>
      <c r="K31" s="1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2:254" s="56" customFormat="1" ht="13.5" thickBot="1">
      <c r="B32" s="236" t="s">
        <v>16</v>
      </c>
      <c r="C32" s="84">
        <v>914</v>
      </c>
      <c r="D32" s="85">
        <f aca="true" t="shared" si="8" ref="D32:I32">SUM(D26:D31)</f>
        <v>72789.141</v>
      </c>
      <c r="E32" s="86">
        <f t="shared" si="8"/>
        <v>185530.00699999998</v>
      </c>
      <c r="F32" s="86">
        <f t="shared" si="8"/>
        <v>141905.599</v>
      </c>
      <c r="G32" s="86">
        <f t="shared" si="8"/>
        <v>152373.29700000002</v>
      </c>
      <c r="H32" s="86">
        <f t="shared" si="8"/>
        <v>175062.30899999998</v>
      </c>
      <c r="I32" s="86">
        <f t="shared" si="8"/>
        <v>-10467.69800000002</v>
      </c>
      <c r="J32" s="1"/>
      <c r="K32" s="1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7:11" ht="13.5" thickBot="1">
      <c r="G33" s="48"/>
      <c r="K33" s="15"/>
    </row>
    <row r="34" spans="2:11" ht="43.5" customHeight="1" thickBot="1">
      <c r="B34" s="5" t="s">
        <v>13</v>
      </c>
      <c r="C34" s="299" t="s">
        <v>18</v>
      </c>
      <c r="D34" s="300" t="s">
        <v>205</v>
      </c>
      <c r="E34" s="6" t="s">
        <v>217</v>
      </c>
      <c r="F34" s="77" t="s">
        <v>194</v>
      </c>
      <c r="G34" s="453" t="s">
        <v>25</v>
      </c>
      <c r="H34" s="5" t="s">
        <v>218</v>
      </c>
      <c r="I34" s="299" t="s">
        <v>219</v>
      </c>
      <c r="K34" s="15"/>
    </row>
    <row r="35" spans="2:9" ht="13.5" thickBot="1">
      <c r="B35" s="45"/>
      <c r="C35" s="78"/>
      <c r="D35" s="79"/>
      <c r="E35" s="11">
        <v>1</v>
      </c>
      <c r="F35" s="80">
        <v>2</v>
      </c>
      <c r="G35" s="454">
        <v>3</v>
      </c>
      <c r="H35" s="80">
        <v>4</v>
      </c>
      <c r="I35" s="10">
        <v>5</v>
      </c>
    </row>
    <row r="36" spans="2:11" ht="12.75">
      <c r="B36" s="233" t="s">
        <v>4</v>
      </c>
      <c r="C36" s="237">
        <v>916</v>
      </c>
      <c r="D36" s="13">
        <v>2913.663</v>
      </c>
      <c r="E36" s="13">
        <v>2912.663</v>
      </c>
      <c r="F36" s="13">
        <v>797.176</v>
      </c>
      <c r="G36" s="13"/>
      <c r="H36" s="13">
        <f aca="true" t="shared" si="9" ref="H36:H41">E36+F36-G36</f>
        <v>3709.839</v>
      </c>
      <c r="I36" s="14">
        <f aca="true" t="shared" si="10" ref="I36:I41">H36-E36</f>
        <v>797.1759999999999</v>
      </c>
      <c r="K36" s="15"/>
    </row>
    <row r="37" spans="2:254" s="56" customFormat="1" ht="12.75">
      <c r="B37" s="234" t="s">
        <v>5</v>
      </c>
      <c r="C37" s="238">
        <v>916</v>
      </c>
      <c r="D37" s="82">
        <v>7400</v>
      </c>
      <c r="E37" s="53">
        <v>9327</v>
      </c>
      <c r="F37" s="53">
        <v>2096</v>
      </c>
      <c r="G37" s="53">
        <v>1802</v>
      </c>
      <c r="H37" s="53">
        <f t="shared" si="9"/>
        <v>9621</v>
      </c>
      <c r="I37" s="83">
        <f t="shared" si="10"/>
        <v>294</v>
      </c>
      <c r="J37" s="1"/>
      <c r="K37" s="1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2:254" s="56" customFormat="1" ht="12.75">
      <c r="B38" s="234" t="s">
        <v>6</v>
      </c>
      <c r="C38" s="238">
        <v>916</v>
      </c>
      <c r="D38" s="82">
        <v>1078.862</v>
      </c>
      <c r="E38" s="53">
        <v>87.559</v>
      </c>
      <c r="F38" s="53">
        <v>2386.629</v>
      </c>
      <c r="G38" s="53">
        <v>2151.627</v>
      </c>
      <c r="H38" s="53">
        <f t="shared" si="9"/>
        <v>322.56100000000015</v>
      </c>
      <c r="I38" s="83">
        <f t="shared" si="10"/>
        <v>235.00200000000015</v>
      </c>
      <c r="J38" s="1"/>
      <c r="K38" s="1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2:254" s="56" customFormat="1" ht="12.75">
      <c r="B39" s="234" t="s">
        <v>7</v>
      </c>
      <c r="C39" s="238">
        <v>916</v>
      </c>
      <c r="D39" s="82"/>
      <c r="E39" s="53">
        <v>2018.109</v>
      </c>
      <c r="F39" s="53">
        <v>883.253</v>
      </c>
      <c r="G39" s="53">
        <v>49.08</v>
      </c>
      <c r="H39" s="53">
        <f t="shared" si="9"/>
        <v>2852.282</v>
      </c>
      <c r="I39" s="83">
        <f t="shared" si="10"/>
        <v>834.1730000000002</v>
      </c>
      <c r="J39" s="1"/>
      <c r="K39" s="1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2:254" s="56" customFormat="1" ht="12.75">
      <c r="B40" s="235" t="s">
        <v>8</v>
      </c>
      <c r="C40" s="238">
        <v>916</v>
      </c>
      <c r="D40" s="82">
        <v>22673.814</v>
      </c>
      <c r="E40" s="53">
        <v>19186.223</v>
      </c>
      <c r="F40" s="53">
        <v>3725.005</v>
      </c>
      <c r="G40" s="53">
        <v>2122.984</v>
      </c>
      <c r="H40" s="53">
        <f t="shared" si="9"/>
        <v>20788.244000000002</v>
      </c>
      <c r="I40" s="83">
        <f t="shared" si="10"/>
        <v>1602.0210000000006</v>
      </c>
      <c r="J40" s="1"/>
      <c r="K40" s="1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2:254" s="56" customFormat="1" ht="13.5" thickBot="1">
      <c r="B41" s="235" t="s">
        <v>9</v>
      </c>
      <c r="C41" s="238">
        <v>916</v>
      </c>
      <c r="D41" s="82"/>
      <c r="E41" s="53">
        <v>1148.496</v>
      </c>
      <c r="F41" s="53">
        <v>774.133</v>
      </c>
      <c r="G41" s="53">
        <v>382.425</v>
      </c>
      <c r="H41" s="54">
        <f t="shared" si="9"/>
        <v>1540.2040000000002</v>
      </c>
      <c r="I41" s="83">
        <f t="shared" si="10"/>
        <v>391.7080000000001</v>
      </c>
      <c r="J41" s="1"/>
      <c r="K41" s="1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2:254" s="56" customFormat="1" ht="13.5" thickBot="1">
      <c r="B42" s="236" t="s">
        <v>16</v>
      </c>
      <c r="C42" s="84">
        <v>916</v>
      </c>
      <c r="D42" s="85">
        <f aca="true" t="shared" si="11" ref="D42:I42">SUM(D36:D41)</f>
        <v>34066.339</v>
      </c>
      <c r="E42" s="86">
        <f t="shared" si="11"/>
        <v>34680.05</v>
      </c>
      <c r="F42" s="86">
        <f t="shared" si="11"/>
        <v>10662.196</v>
      </c>
      <c r="G42" s="86">
        <f>SUM(G36:G41)-0.01</f>
        <v>6508.106</v>
      </c>
      <c r="H42" s="86">
        <f t="shared" si="11"/>
        <v>38834.130000000005</v>
      </c>
      <c r="I42" s="86">
        <f t="shared" si="11"/>
        <v>4154.080000000002</v>
      </c>
      <c r="J42" s="1"/>
      <c r="K42" s="1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3:11" ht="13.5" thickBot="1">
      <c r="C43" s="76"/>
      <c r="G43" s="48"/>
      <c r="K43" s="15"/>
    </row>
    <row r="44" spans="2:11" ht="43.5" customHeight="1" thickBot="1">
      <c r="B44" s="5" t="s">
        <v>15</v>
      </c>
      <c r="C44" s="299" t="s">
        <v>18</v>
      </c>
      <c r="D44" s="300" t="s">
        <v>205</v>
      </c>
      <c r="E44" s="6" t="s">
        <v>217</v>
      </c>
      <c r="F44" s="77" t="s">
        <v>194</v>
      </c>
      <c r="G44" s="453" t="s">
        <v>25</v>
      </c>
      <c r="H44" s="5" t="s">
        <v>218</v>
      </c>
      <c r="I44" s="299" t="s">
        <v>219</v>
      </c>
      <c r="K44" s="15"/>
    </row>
    <row r="45" spans="2:9" ht="13.5" thickBot="1">
      <c r="B45" s="45"/>
      <c r="C45" s="42"/>
      <c r="D45" s="79"/>
      <c r="E45" s="11">
        <v>1</v>
      </c>
      <c r="F45" s="80">
        <v>2</v>
      </c>
      <c r="G45" s="454">
        <v>3</v>
      </c>
      <c r="H45" s="80">
        <v>4</v>
      </c>
      <c r="I45" s="10">
        <v>5</v>
      </c>
    </row>
    <row r="46" spans="2:11" ht="12.75">
      <c r="B46" s="12" t="s">
        <v>4</v>
      </c>
      <c r="C46" s="242"/>
      <c r="D46" s="239">
        <f aca="true" t="shared" si="12" ref="D46:I51">D6+D16+D26+D36</f>
        <v>52072.735</v>
      </c>
      <c r="E46" s="32">
        <f t="shared" si="12"/>
        <v>52071.735</v>
      </c>
      <c r="F46" s="32">
        <f t="shared" si="12"/>
        <v>34809.238999999994</v>
      </c>
      <c r="G46" s="32">
        <f t="shared" si="12"/>
        <v>45771.304000000004</v>
      </c>
      <c r="H46" s="32">
        <f t="shared" si="12"/>
        <v>41109.67</v>
      </c>
      <c r="I46" s="32">
        <f t="shared" si="12"/>
        <v>-10962.065000000004</v>
      </c>
      <c r="K46" s="15"/>
    </row>
    <row r="47" spans="2:11" ht="12.75">
      <c r="B47" s="231" t="s">
        <v>5</v>
      </c>
      <c r="C47" s="415"/>
      <c r="D47" s="416">
        <f t="shared" si="12"/>
        <v>7576</v>
      </c>
      <c r="E47" s="226">
        <f t="shared" si="12"/>
        <v>10207</v>
      </c>
      <c r="F47" s="226">
        <f t="shared" si="12"/>
        <v>2147</v>
      </c>
      <c r="G47" s="226">
        <f t="shared" si="12"/>
        <v>2256</v>
      </c>
      <c r="H47" s="226">
        <f t="shared" si="12"/>
        <v>10098</v>
      </c>
      <c r="I47" s="226">
        <f t="shared" si="12"/>
        <v>-109</v>
      </c>
      <c r="K47" s="15"/>
    </row>
    <row r="48" spans="2:11" ht="12.75">
      <c r="B48" s="16" t="s">
        <v>6</v>
      </c>
      <c r="C48" s="243"/>
      <c r="D48" s="240">
        <f t="shared" si="12"/>
        <v>5583.718</v>
      </c>
      <c r="E48" s="226">
        <f t="shared" si="12"/>
        <v>101410.38699999999</v>
      </c>
      <c r="F48" s="226">
        <f t="shared" si="12"/>
        <v>67492.305</v>
      </c>
      <c r="G48" s="226" t="s">
        <v>286</v>
      </c>
      <c r="H48" s="226">
        <f t="shared" si="12"/>
        <v>88216.34499999999</v>
      </c>
      <c r="I48" s="226">
        <f t="shared" si="12"/>
        <v>-13194.042000000016</v>
      </c>
      <c r="K48" s="15"/>
    </row>
    <row r="49" spans="2:11" ht="12.75">
      <c r="B49" s="16" t="s">
        <v>7</v>
      </c>
      <c r="C49" s="243"/>
      <c r="D49" s="240">
        <f t="shared" si="12"/>
        <v>4095.708</v>
      </c>
      <c r="E49" s="226">
        <f t="shared" si="12"/>
        <v>18415.261000000002</v>
      </c>
      <c r="F49" s="226">
        <f t="shared" si="12"/>
        <v>13724.874</v>
      </c>
      <c r="G49" s="226">
        <f t="shared" si="12"/>
        <v>13459.342999999999</v>
      </c>
      <c r="H49" s="226">
        <f t="shared" si="12"/>
        <v>18680.792</v>
      </c>
      <c r="I49" s="226">
        <f t="shared" si="12"/>
        <v>265.5310000000011</v>
      </c>
      <c r="K49" s="15"/>
    </row>
    <row r="50" spans="2:11" ht="12.75">
      <c r="B50" s="19" t="s">
        <v>8</v>
      </c>
      <c r="C50" s="243"/>
      <c r="D50" s="240">
        <f t="shared" si="12"/>
        <v>41267.507</v>
      </c>
      <c r="E50" s="226">
        <f t="shared" si="12"/>
        <v>41015.953</v>
      </c>
      <c r="F50" s="226">
        <f t="shared" si="12"/>
        <v>36832.685</v>
      </c>
      <c r="G50" s="226">
        <f t="shared" si="12"/>
        <v>20268.87</v>
      </c>
      <c r="H50" s="226">
        <f t="shared" si="12"/>
        <v>57579.768</v>
      </c>
      <c r="I50" s="226">
        <f t="shared" si="12"/>
        <v>16563.814999999995</v>
      </c>
      <c r="K50" s="15"/>
    </row>
    <row r="51" spans="2:11" ht="13.5" thickBot="1">
      <c r="B51" s="19" t="s">
        <v>9</v>
      </c>
      <c r="C51" s="243"/>
      <c r="D51" s="240">
        <f t="shared" si="12"/>
        <v>0</v>
      </c>
      <c r="E51" s="226">
        <f t="shared" si="12"/>
        <v>1168.481</v>
      </c>
      <c r="F51" s="226">
        <f t="shared" si="12"/>
        <v>1220.0240000000001</v>
      </c>
      <c r="G51" s="226">
        <f t="shared" si="12"/>
        <v>420.308</v>
      </c>
      <c r="H51" s="226">
        <f t="shared" si="12"/>
        <v>1968.1970000000001</v>
      </c>
      <c r="I51" s="226">
        <f t="shared" si="12"/>
        <v>799.7160000000001</v>
      </c>
      <c r="K51" s="15"/>
    </row>
    <row r="52" spans="2:11" ht="13.5" thickBot="1">
      <c r="B52" s="21" t="s">
        <v>16</v>
      </c>
      <c r="C52" s="42"/>
      <c r="D52" s="241">
        <f>SUM(D46:D51)</f>
        <v>110595.668</v>
      </c>
      <c r="E52" s="23">
        <f>SUM(E46:E51)</f>
        <v>224288.81699999998</v>
      </c>
      <c r="F52" s="23">
        <f>SUM(F46:F51)</f>
        <v>156226.127</v>
      </c>
      <c r="G52" s="23">
        <f>SUM(G46:G51)</f>
        <v>82175.82500000001</v>
      </c>
      <c r="H52" s="23">
        <f>SUM(H46:H51)</f>
        <v>217652.77199999994</v>
      </c>
      <c r="I52" s="23">
        <f>SUM(I46:I51)+0.01</f>
        <v>-6636.03500000002</v>
      </c>
      <c r="K52" s="15"/>
    </row>
    <row r="53" ht="12.75">
      <c r="K53" s="15"/>
    </row>
    <row r="54" ht="12.75">
      <c r="K54" s="15"/>
    </row>
    <row r="55" ht="12.75">
      <c r="K55" s="15"/>
    </row>
    <row r="56" ht="12.75">
      <c r="K56" s="15"/>
    </row>
    <row r="57" spans="8:11" ht="12.75">
      <c r="H57" s="15"/>
      <c r="K57" s="15"/>
    </row>
    <row r="58" ht="12.75">
      <c r="K58" s="15"/>
    </row>
    <row r="59" spans="8:11" ht="12.75">
      <c r="H59" s="15"/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  <row r="159" ht="12.75">
      <c r="K159" s="15"/>
    </row>
    <row r="160" ht="12.75">
      <c r="K160" s="15"/>
    </row>
    <row r="161" ht="12.75">
      <c r="K161" s="15"/>
    </row>
    <row r="162" ht="12.75">
      <c r="K162" s="15"/>
    </row>
    <row r="163" ht="12.75">
      <c r="K163" s="15"/>
    </row>
    <row r="164" ht="12.75">
      <c r="K164" s="15"/>
    </row>
    <row r="165" ht="12.75">
      <c r="K165" s="15"/>
    </row>
    <row r="166" ht="12.75">
      <c r="K166" s="15"/>
    </row>
    <row r="167" ht="12.75">
      <c r="K167" s="15"/>
    </row>
    <row r="168" ht="12.75">
      <c r="K168" s="15"/>
    </row>
    <row r="169" ht="12.75">
      <c r="K169" s="15"/>
    </row>
    <row r="170" ht="12.75">
      <c r="K170" s="15"/>
    </row>
    <row r="171" ht="12.75">
      <c r="K171" s="15"/>
    </row>
    <row r="172" ht="12.75">
      <c r="K172" s="15"/>
    </row>
    <row r="173" ht="12.75">
      <c r="K173" s="15"/>
    </row>
    <row r="174" ht="12.75">
      <c r="K174" s="15"/>
    </row>
    <row r="175" ht="12.75">
      <c r="K175" s="15"/>
    </row>
    <row r="176" ht="12.75">
      <c r="K176" s="15"/>
    </row>
    <row r="177" ht="12.75">
      <c r="K177" s="15"/>
    </row>
    <row r="178" ht="12.75">
      <c r="K178" s="15"/>
    </row>
    <row r="179" ht="12.75">
      <c r="K179" s="15"/>
    </row>
    <row r="180" ht="12.75">
      <c r="K180" s="15"/>
    </row>
    <row r="181" ht="12.75">
      <c r="K181" s="15"/>
    </row>
    <row r="182" ht="12.75">
      <c r="K182" s="15"/>
    </row>
    <row r="183" ht="12.75">
      <c r="K183" s="15"/>
    </row>
    <row r="184" ht="12.75">
      <c r="K184" s="15"/>
    </row>
    <row r="185" ht="12.75">
      <c r="K185" s="15"/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</sheetData>
  <sheetProtection/>
  <printOptions horizontalCentered="1" verticalCentered="1"/>
  <pageMargins left="0" right="0" top="0.3937007874015748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69"/>
  <sheetViews>
    <sheetView zoomScale="80" zoomScaleNormal="80" zoomScalePageLayoutView="0" workbookViewId="0" topLeftCell="A7">
      <selection activeCell="G32" sqref="G32"/>
    </sheetView>
  </sheetViews>
  <sheetFormatPr defaultColWidth="9.140625" defaultRowHeight="12.75"/>
  <cols>
    <col min="1" max="1" width="4.421875" style="1" customWidth="1"/>
    <col min="2" max="2" width="18.57421875" style="1" customWidth="1"/>
    <col min="3" max="3" width="9.140625" style="1" customWidth="1"/>
    <col min="4" max="4" width="14.421875" style="1" customWidth="1"/>
    <col min="5" max="5" width="14.140625" style="1" customWidth="1"/>
    <col min="6" max="6" width="14.28125" style="1" customWidth="1"/>
    <col min="7" max="7" width="14.421875" style="303" bestFit="1" customWidth="1"/>
    <col min="8" max="8" width="14.57421875" style="303" customWidth="1"/>
    <col min="9" max="9" width="13.421875" style="303" bestFit="1" customWidth="1"/>
    <col min="10" max="10" width="8.8515625" style="1" customWidth="1"/>
    <col min="11" max="16384" width="9.140625" style="1" customWidth="1"/>
  </cols>
  <sheetData>
    <row r="1" spans="8:9" ht="15.75">
      <c r="H1" s="342" t="s">
        <v>112</v>
      </c>
      <c r="I1" s="343"/>
    </row>
    <row r="2" ht="15.75">
      <c r="B2" s="3" t="s">
        <v>17</v>
      </c>
    </row>
    <row r="3" ht="13.5" thickBot="1">
      <c r="H3" s="344" t="s">
        <v>1</v>
      </c>
    </row>
    <row r="4" spans="2:9" ht="13.5" thickBot="1">
      <c r="B4" s="38"/>
      <c r="C4" s="39"/>
      <c r="D4" s="40"/>
      <c r="E4" s="41" t="s">
        <v>204</v>
      </c>
      <c r="F4" s="42"/>
      <c r="G4" s="345"/>
      <c r="H4" s="346" t="s">
        <v>292</v>
      </c>
      <c r="I4" s="347"/>
    </row>
    <row r="5" spans="2:9" ht="27" customHeight="1" thickBot="1">
      <c r="B5" s="43" t="s">
        <v>3</v>
      </c>
      <c r="C5" s="44" t="s">
        <v>18</v>
      </c>
      <c r="D5" s="5" t="s">
        <v>19</v>
      </c>
      <c r="E5" s="5" t="s">
        <v>20</v>
      </c>
      <c r="F5" s="348" t="s">
        <v>207</v>
      </c>
      <c r="G5" s="348" t="s">
        <v>19</v>
      </c>
      <c r="H5" s="348" t="s">
        <v>20</v>
      </c>
      <c r="I5" s="348" t="s">
        <v>207</v>
      </c>
    </row>
    <row r="6" spans="2:9" ht="13.5" thickBot="1">
      <c r="B6" s="45"/>
      <c r="C6" s="46"/>
      <c r="D6" s="30">
        <v>241</v>
      </c>
      <c r="E6" s="30">
        <v>245</v>
      </c>
      <c r="F6" s="30">
        <v>243</v>
      </c>
      <c r="G6" s="349">
        <v>241</v>
      </c>
      <c r="H6" s="304">
        <v>245</v>
      </c>
      <c r="I6" s="304">
        <v>243</v>
      </c>
    </row>
    <row r="7" spans="2:10" ht="12.75">
      <c r="B7" s="12" t="s">
        <v>4</v>
      </c>
      <c r="C7" s="47">
        <v>911</v>
      </c>
      <c r="D7" s="340">
        <v>544</v>
      </c>
      <c r="E7" s="340"/>
      <c r="F7" s="341"/>
      <c r="G7" s="350">
        <v>544</v>
      </c>
      <c r="H7" s="305"/>
      <c r="I7" s="351"/>
      <c r="J7" s="48"/>
    </row>
    <row r="8" spans="2:10" ht="12.75">
      <c r="B8" s="16" t="s">
        <v>5</v>
      </c>
      <c r="C8" s="49">
        <v>911</v>
      </c>
      <c r="D8" s="35">
        <v>260</v>
      </c>
      <c r="E8" s="17"/>
      <c r="F8" s="18"/>
      <c r="G8" s="226">
        <v>259</v>
      </c>
      <c r="H8" s="230"/>
      <c r="I8" s="352"/>
      <c r="J8" s="48"/>
    </row>
    <row r="9" spans="2:10" ht="12.75">
      <c r="B9" s="16" t="s">
        <v>6</v>
      </c>
      <c r="C9" s="49">
        <v>911</v>
      </c>
      <c r="D9" s="17"/>
      <c r="E9" s="17">
        <v>2.765</v>
      </c>
      <c r="F9" s="18"/>
      <c r="G9" s="230">
        <v>202.765</v>
      </c>
      <c r="H9" s="230"/>
      <c r="I9" s="352"/>
      <c r="J9" s="48"/>
    </row>
    <row r="10" spans="2:10" ht="12.75">
      <c r="B10" s="16" t="s">
        <v>7</v>
      </c>
      <c r="C10" s="49">
        <v>911</v>
      </c>
      <c r="D10" s="17">
        <v>920.739</v>
      </c>
      <c r="E10" s="17"/>
      <c r="F10" s="18"/>
      <c r="G10" s="230">
        <v>1123.68</v>
      </c>
      <c r="H10" s="230"/>
      <c r="I10" s="352"/>
      <c r="J10" s="48"/>
    </row>
    <row r="11" spans="2:10" ht="12.75">
      <c r="B11" s="16" t="s">
        <v>8</v>
      </c>
      <c r="C11" s="50">
        <v>911</v>
      </c>
      <c r="D11" s="17"/>
      <c r="E11" s="17">
        <v>1052.681</v>
      </c>
      <c r="F11" s="18"/>
      <c r="G11" s="230"/>
      <c r="H11" s="230">
        <v>496.459</v>
      </c>
      <c r="I11" s="352"/>
      <c r="J11" s="48"/>
    </row>
    <row r="12" spans="2:255" s="56" customFormat="1" ht="13.5" thickBot="1">
      <c r="B12" s="51" t="s">
        <v>9</v>
      </c>
      <c r="C12" s="52">
        <v>911</v>
      </c>
      <c r="D12" s="53"/>
      <c r="E12" s="54"/>
      <c r="F12" s="55"/>
      <c r="G12" s="230"/>
      <c r="H12" s="301"/>
      <c r="I12" s="353"/>
      <c r="J12" s="4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2:10" ht="16.5" customHeight="1" thickBot="1">
      <c r="B13" s="21" t="s">
        <v>16</v>
      </c>
      <c r="C13" s="30">
        <v>911</v>
      </c>
      <c r="D13" s="57">
        <f aca="true" t="shared" si="0" ref="D13:I13">SUM(D7:D12)</f>
        <v>1724.739</v>
      </c>
      <c r="E13" s="57">
        <f t="shared" si="0"/>
        <v>1055.4460000000001</v>
      </c>
      <c r="F13" s="23">
        <f t="shared" si="0"/>
        <v>0</v>
      </c>
      <c r="G13" s="354">
        <f t="shared" si="0"/>
        <v>2129.445</v>
      </c>
      <c r="H13" s="354">
        <f t="shared" si="0"/>
        <v>496.459</v>
      </c>
      <c r="I13" s="302">
        <f t="shared" si="0"/>
        <v>0</v>
      </c>
      <c r="J13" s="48"/>
    </row>
    <row r="14" ht="13.5" thickBot="1">
      <c r="J14" s="48"/>
    </row>
    <row r="15" spans="2:10" ht="13.5" thickBot="1">
      <c r="B15" s="38"/>
      <c r="C15" s="39"/>
      <c r="D15" s="40"/>
      <c r="E15" s="41" t="s">
        <v>204</v>
      </c>
      <c r="F15" s="42"/>
      <c r="G15" s="345"/>
      <c r="H15" s="346" t="s">
        <v>292</v>
      </c>
      <c r="I15" s="347"/>
      <c r="J15" s="48"/>
    </row>
    <row r="16" spans="2:10" ht="27" customHeight="1" thickBot="1">
      <c r="B16" s="43" t="s">
        <v>21</v>
      </c>
      <c r="C16" s="44" t="s">
        <v>18</v>
      </c>
      <c r="D16" s="5" t="s">
        <v>19</v>
      </c>
      <c r="E16" s="5" t="s">
        <v>20</v>
      </c>
      <c r="F16" s="348" t="s">
        <v>207</v>
      </c>
      <c r="G16" s="348" t="s">
        <v>19</v>
      </c>
      <c r="H16" s="348" t="s">
        <v>20</v>
      </c>
      <c r="I16" s="348" t="s">
        <v>207</v>
      </c>
      <c r="J16" s="48"/>
    </row>
    <row r="17" spans="2:10" ht="13.5" thickBot="1">
      <c r="B17" s="45"/>
      <c r="C17" s="46"/>
      <c r="D17" s="10">
        <v>241</v>
      </c>
      <c r="E17" s="10">
        <v>245</v>
      </c>
      <c r="F17" s="10">
        <v>243</v>
      </c>
      <c r="G17" s="304">
        <v>241</v>
      </c>
      <c r="H17" s="304">
        <v>245</v>
      </c>
      <c r="I17" s="304">
        <v>243</v>
      </c>
      <c r="J17" s="48"/>
    </row>
    <row r="18" spans="2:10" ht="12.75">
      <c r="B18" s="12" t="s">
        <v>4</v>
      </c>
      <c r="C18" s="58">
        <v>912</v>
      </c>
      <c r="D18" s="13"/>
      <c r="E18" s="13"/>
      <c r="F18" s="14">
        <v>93.953</v>
      </c>
      <c r="G18" s="305"/>
      <c r="H18" s="305"/>
      <c r="I18" s="351">
        <v>49.26</v>
      </c>
      <c r="J18" s="48"/>
    </row>
    <row r="19" spans="2:10" ht="12.75">
      <c r="B19" s="16" t="s">
        <v>5</v>
      </c>
      <c r="C19" s="59">
        <v>912</v>
      </c>
      <c r="D19" s="17"/>
      <c r="E19" s="17"/>
      <c r="F19" s="18">
        <v>87</v>
      </c>
      <c r="G19" s="230"/>
      <c r="H19" s="230"/>
      <c r="I19" s="352">
        <v>86</v>
      </c>
      <c r="J19" s="48"/>
    </row>
    <row r="20" spans="2:10" ht="12.75">
      <c r="B20" s="16" t="s">
        <v>6</v>
      </c>
      <c r="C20" s="59">
        <v>912</v>
      </c>
      <c r="D20" s="17"/>
      <c r="E20" s="17"/>
      <c r="F20" s="18">
        <v>740.059</v>
      </c>
      <c r="G20" s="230"/>
      <c r="H20" s="230"/>
      <c r="I20" s="352">
        <v>180.11</v>
      </c>
      <c r="J20" s="48"/>
    </row>
    <row r="21" spans="2:10" ht="12.75">
      <c r="B21" s="16" t="s">
        <v>7</v>
      </c>
      <c r="C21" s="59">
        <v>912</v>
      </c>
      <c r="D21" s="17"/>
      <c r="E21" s="17"/>
      <c r="F21" s="18">
        <v>193.114</v>
      </c>
      <c r="G21" s="230"/>
      <c r="H21" s="230"/>
      <c r="I21" s="352">
        <v>261.777</v>
      </c>
      <c r="J21" s="48"/>
    </row>
    <row r="22" spans="2:10" ht="12.75">
      <c r="B22" s="16" t="s">
        <v>8</v>
      </c>
      <c r="C22" s="59">
        <v>912</v>
      </c>
      <c r="D22" s="17"/>
      <c r="E22" s="17"/>
      <c r="F22" s="18">
        <v>139.777</v>
      </c>
      <c r="G22" s="230"/>
      <c r="H22" s="230"/>
      <c r="I22" s="352">
        <v>371.55</v>
      </c>
      <c r="J22" s="48"/>
    </row>
    <row r="23" spans="2:255" s="56" customFormat="1" ht="13.5" thickBot="1">
      <c r="B23" s="51" t="s">
        <v>9</v>
      </c>
      <c r="C23" s="60">
        <v>912</v>
      </c>
      <c r="D23" s="54"/>
      <c r="E23" s="54"/>
      <c r="F23" s="55">
        <v>19.985</v>
      </c>
      <c r="G23" s="301"/>
      <c r="H23" s="301"/>
      <c r="I23" s="353">
        <v>24.155</v>
      </c>
      <c r="J23" s="4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2:10" ht="13.5" thickBot="1">
      <c r="B24" s="21" t="s">
        <v>16</v>
      </c>
      <c r="C24" s="30">
        <v>912</v>
      </c>
      <c r="D24" s="57">
        <f aca="true" t="shared" si="1" ref="D24:I24">SUM(D18:D23)</f>
        <v>0</v>
      </c>
      <c r="E24" s="57">
        <f t="shared" si="1"/>
        <v>0</v>
      </c>
      <c r="F24" s="23">
        <f t="shared" si="1"/>
        <v>1273.888</v>
      </c>
      <c r="G24" s="354">
        <f t="shared" si="1"/>
        <v>0</v>
      </c>
      <c r="H24" s="354">
        <f t="shared" si="1"/>
        <v>0</v>
      </c>
      <c r="I24" s="302">
        <f t="shared" si="1"/>
        <v>972.8519999999999</v>
      </c>
      <c r="J24" s="48"/>
    </row>
    <row r="25" ht="13.5" thickBot="1">
      <c r="J25" s="48"/>
    </row>
    <row r="26" spans="2:10" ht="13.5" thickBot="1">
      <c r="B26" s="38"/>
      <c r="C26" s="39"/>
      <c r="D26" s="40"/>
      <c r="E26" s="41" t="s">
        <v>204</v>
      </c>
      <c r="F26" s="42"/>
      <c r="G26" s="345"/>
      <c r="H26" s="346" t="s">
        <v>292</v>
      </c>
      <c r="I26" s="347"/>
      <c r="J26" s="48"/>
    </row>
    <row r="27" spans="2:10" ht="27" customHeight="1" thickBot="1">
      <c r="B27" s="43" t="s">
        <v>11</v>
      </c>
      <c r="C27" s="44" t="s">
        <v>18</v>
      </c>
      <c r="D27" s="5" t="s">
        <v>19</v>
      </c>
      <c r="E27" s="5" t="s">
        <v>20</v>
      </c>
      <c r="F27" s="348" t="s">
        <v>207</v>
      </c>
      <c r="G27" s="348" t="s">
        <v>19</v>
      </c>
      <c r="H27" s="348" t="s">
        <v>20</v>
      </c>
      <c r="I27" s="348" t="s">
        <v>207</v>
      </c>
      <c r="J27" s="48"/>
    </row>
    <row r="28" spans="2:10" ht="13.5" thickBot="1">
      <c r="B28" s="45"/>
      <c r="C28" s="46"/>
      <c r="D28" s="30">
        <v>241</v>
      </c>
      <c r="E28" s="10">
        <v>245</v>
      </c>
      <c r="F28" s="10">
        <v>243</v>
      </c>
      <c r="G28" s="349">
        <v>241</v>
      </c>
      <c r="H28" s="304">
        <v>245</v>
      </c>
      <c r="I28" s="304">
        <v>243</v>
      </c>
      <c r="J28" s="48"/>
    </row>
    <row r="29" spans="2:10" ht="12.75">
      <c r="B29" s="12" t="s">
        <v>4</v>
      </c>
      <c r="C29" s="58">
        <v>914</v>
      </c>
      <c r="D29" s="340">
        <v>48484.383</v>
      </c>
      <c r="E29" s="13"/>
      <c r="F29" s="14"/>
      <c r="G29" s="350">
        <v>36687.152</v>
      </c>
      <c r="H29" s="305"/>
      <c r="I29" s="351"/>
      <c r="J29" s="48"/>
    </row>
    <row r="30" spans="2:10" ht="12.75">
      <c r="B30" s="16" t="s">
        <v>5</v>
      </c>
      <c r="C30" s="59">
        <v>914</v>
      </c>
      <c r="D30" s="17">
        <v>562</v>
      </c>
      <c r="E30" s="17"/>
      <c r="F30" s="18"/>
      <c r="G30" s="230">
        <v>131</v>
      </c>
      <c r="H30" s="230"/>
      <c r="I30" s="352"/>
      <c r="J30" s="48"/>
    </row>
    <row r="31" spans="2:10" ht="12.75">
      <c r="B31" s="16" t="s">
        <v>6</v>
      </c>
      <c r="C31" s="59">
        <v>914</v>
      </c>
      <c r="D31" s="17">
        <v>100335.856</v>
      </c>
      <c r="E31" s="17">
        <v>226.148</v>
      </c>
      <c r="F31" s="18"/>
      <c r="G31" s="230">
        <v>87506.909</v>
      </c>
      <c r="H31" s="230"/>
      <c r="I31" s="352"/>
      <c r="J31" s="48"/>
    </row>
    <row r="32" spans="2:10" ht="12.75">
      <c r="B32" s="16" t="s">
        <v>7</v>
      </c>
      <c r="C32" s="59">
        <v>914</v>
      </c>
      <c r="D32" s="17">
        <v>2278.696</v>
      </c>
      <c r="E32" s="17"/>
      <c r="F32" s="18"/>
      <c r="G32" s="230">
        <v>5411.9</v>
      </c>
      <c r="H32" s="230"/>
      <c r="I32" s="352"/>
      <c r="J32" s="48"/>
    </row>
    <row r="33" spans="2:10" ht="12.75">
      <c r="B33" s="16" t="s">
        <v>8</v>
      </c>
      <c r="C33" s="59">
        <v>914</v>
      </c>
      <c r="D33" s="17">
        <v>19298.889</v>
      </c>
      <c r="E33" s="17">
        <v>5126.543</v>
      </c>
      <c r="F33" s="18"/>
      <c r="G33" s="230">
        <v>30134.308</v>
      </c>
      <c r="H33" s="230">
        <v>9357.625</v>
      </c>
      <c r="I33" s="352"/>
      <c r="J33" s="48"/>
    </row>
    <row r="34" spans="2:255" s="56" customFormat="1" ht="13.5" thickBot="1">
      <c r="B34" s="51" t="s">
        <v>9</v>
      </c>
      <c r="C34" s="61">
        <v>914</v>
      </c>
      <c r="D34" s="53"/>
      <c r="E34" s="54"/>
      <c r="F34" s="55"/>
      <c r="G34" s="230">
        <v>400.618</v>
      </c>
      <c r="H34" s="301"/>
      <c r="I34" s="353"/>
      <c r="J34" s="4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2:10" ht="13.5" thickBot="1">
      <c r="B35" s="21" t="s">
        <v>16</v>
      </c>
      <c r="C35" s="30">
        <v>914</v>
      </c>
      <c r="D35" s="57">
        <f aca="true" t="shared" si="2" ref="D35:I35">SUM(D29:D34)</f>
        <v>170959.824</v>
      </c>
      <c r="E35" s="57">
        <f t="shared" si="2"/>
        <v>5352.691</v>
      </c>
      <c r="F35" s="23">
        <f t="shared" si="2"/>
        <v>0</v>
      </c>
      <c r="G35" s="354">
        <f t="shared" si="2"/>
        <v>160271.887</v>
      </c>
      <c r="H35" s="354">
        <f t="shared" si="2"/>
        <v>9357.625</v>
      </c>
      <c r="I35" s="302">
        <f t="shared" si="2"/>
        <v>0</v>
      </c>
      <c r="J35" s="48"/>
    </row>
    <row r="36" ht="13.5" thickBot="1">
      <c r="J36" s="48"/>
    </row>
    <row r="37" spans="2:10" ht="13.5" thickBot="1">
      <c r="B37" s="38"/>
      <c r="C37" s="39"/>
      <c r="D37" s="40"/>
      <c r="E37" s="41" t="s">
        <v>204</v>
      </c>
      <c r="F37" s="42"/>
      <c r="G37" s="345"/>
      <c r="H37" s="346" t="s">
        <v>292</v>
      </c>
      <c r="I37" s="347"/>
      <c r="J37" s="48"/>
    </row>
    <row r="38" spans="2:10" ht="27" customHeight="1" thickBot="1">
      <c r="B38" s="43" t="s">
        <v>22</v>
      </c>
      <c r="C38" s="44" t="s">
        <v>18</v>
      </c>
      <c r="D38" s="5" t="s">
        <v>19</v>
      </c>
      <c r="E38" s="5" t="s">
        <v>20</v>
      </c>
      <c r="F38" s="348" t="s">
        <v>207</v>
      </c>
      <c r="G38" s="348" t="s">
        <v>19</v>
      </c>
      <c r="H38" s="348" t="s">
        <v>20</v>
      </c>
      <c r="I38" s="348" t="s">
        <v>207</v>
      </c>
      <c r="J38" s="48"/>
    </row>
    <row r="39" spans="2:10" ht="13.5" thickBot="1">
      <c r="B39" s="45"/>
      <c r="C39" s="46"/>
      <c r="D39" s="10">
        <v>241</v>
      </c>
      <c r="E39" s="10">
        <v>245</v>
      </c>
      <c r="F39" s="10">
        <v>243</v>
      </c>
      <c r="G39" s="304">
        <v>241</v>
      </c>
      <c r="H39" s="304">
        <v>245</v>
      </c>
      <c r="I39" s="304">
        <v>243</v>
      </c>
      <c r="J39" s="48"/>
    </row>
    <row r="40" spans="2:10" ht="12.75">
      <c r="B40" s="12" t="s">
        <v>4</v>
      </c>
      <c r="C40" s="58">
        <v>916</v>
      </c>
      <c r="D40" s="13">
        <v>2912.663</v>
      </c>
      <c r="E40" s="13"/>
      <c r="F40" s="14"/>
      <c r="G40" s="305">
        <v>3709.839</v>
      </c>
      <c r="H40" s="305"/>
      <c r="I40" s="351"/>
      <c r="J40" s="48"/>
    </row>
    <row r="41" spans="2:10" ht="12.75">
      <c r="B41" s="16" t="s">
        <v>5</v>
      </c>
      <c r="C41" s="59">
        <v>916</v>
      </c>
      <c r="D41" s="17">
        <v>9327</v>
      </c>
      <c r="E41" s="17"/>
      <c r="F41" s="18"/>
      <c r="G41" s="230">
        <v>9621</v>
      </c>
      <c r="H41" s="230"/>
      <c r="I41" s="352"/>
      <c r="J41" s="48"/>
    </row>
    <row r="42" spans="2:10" ht="12.75">
      <c r="B42" s="16" t="s">
        <v>6</v>
      </c>
      <c r="C42" s="59">
        <v>916</v>
      </c>
      <c r="D42" s="17"/>
      <c r="E42" s="17">
        <v>87.559</v>
      </c>
      <c r="F42" s="18"/>
      <c r="G42" s="230">
        <v>322.561</v>
      </c>
      <c r="H42" s="230"/>
      <c r="I42" s="352"/>
      <c r="J42" s="48"/>
    </row>
    <row r="43" spans="2:10" ht="12.75">
      <c r="B43" s="16" t="s">
        <v>7</v>
      </c>
      <c r="C43" s="59">
        <v>916</v>
      </c>
      <c r="D43" s="17">
        <v>2018.109</v>
      </c>
      <c r="E43" s="17"/>
      <c r="F43" s="18"/>
      <c r="G43" s="230">
        <v>2852.282</v>
      </c>
      <c r="H43" s="230"/>
      <c r="I43" s="352"/>
      <c r="J43" s="48"/>
    </row>
    <row r="44" spans="2:10" ht="12.75">
      <c r="B44" s="16" t="s">
        <v>8</v>
      </c>
      <c r="C44" s="59">
        <v>916</v>
      </c>
      <c r="D44" s="17"/>
      <c r="E44" s="17">
        <v>19186.223</v>
      </c>
      <c r="F44" s="18"/>
      <c r="G44" s="230"/>
      <c r="H44" s="230">
        <v>21901.417</v>
      </c>
      <c r="I44" s="352"/>
      <c r="J44" s="48"/>
    </row>
    <row r="45" spans="2:255" s="56" customFormat="1" ht="13.5" thickBot="1">
      <c r="B45" s="51" t="s">
        <v>9</v>
      </c>
      <c r="C45" s="60">
        <v>916</v>
      </c>
      <c r="D45" s="53">
        <v>1148.496</v>
      </c>
      <c r="E45" s="54"/>
      <c r="F45" s="55"/>
      <c r="G45" s="230">
        <v>372.824</v>
      </c>
      <c r="H45" s="301"/>
      <c r="I45" s="353"/>
      <c r="J45" s="4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2:10" ht="13.5" thickBot="1">
      <c r="B46" s="21" t="s">
        <v>16</v>
      </c>
      <c r="C46" s="30">
        <v>916</v>
      </c>
      <c r="D46" s="57">
        <f aca="true" t="shared" si="3" ref="D46:I46">SUM(D40:D45)</f>
        <v>15406.268</v>
      </c>
      <c r="E46" s="57">
        <f t="shared" si="3"/>
        <v>19273.782000000003</v>
      </c>
      <c r="F46" s="23">
        <f t="shared" si="3"/>
        <v>0</v>
      </c>
      <c r="G46" s="354">
        <f t="shared" si="3"/>
        <v>16878.506</v>
      </c>
      <c r="H46" s="354">
        <f t="shared" si="3"/>
        <v>21901.417</v>
      </c>
      <c r="I46" s="302">
        <f t="shared" si="3"/>
        <v>0</v>
      </c>
      <c r="J46" s="48"/>
    </row>
    <row r="47" ht="13.5" thickBot="1">
      <c r="J47" s="48"/>
    </row>
    <row r="48" spans="2:10" ht="13.5" thickBot="1">
      <c r="B48" s="38"/>
      <c r="C48" s="39"/>
      <c r="D48" s="40"/>
      <c r="E48" s="41" t="s">
        <v>204</v>
      </c>
      <c r="F48" s="42"/>
      <c r="G48" s="345"/>
      <c r="H48" s="346" t="s">
        <v>292</v>
      </c>
      <c r="I48" s="347"/>
      <c r="J48" s="48"/>
    </row>
    <row r="49" spans="2:10" ht="27" customHeight="1" thickBot="1">
      <c r="B49" s="43" t="s">
        <v>23</v>
      </c>
      <c r="C49" s="44" t="s">
        <v>18</v>
      </c>
      <c r="D49" s="5" t="s">
        <v>19</v>
      </c>
      <c r="E49" s="5" t="s">
        <v>20</v>
      </c>
      <c r="F49" s="348" t="s">
        <v>207</v>
      </c>
      <c r="G49" s="348" t="s">
        <v>19</v>
      </c>
      <c r="H49" s="348" t="s">
        <v>20</v>
      </c>
      <c r="I49" s="348" t="s">
        <v>207</v>
      </c>
      <c r="J49" s="48"/>
    </row>
    <row r="50" spans="2:10" ht="13.5" thickBot="1">
      <c r="B50" s="62"/>
      <c r="C50" s="42"/>
      <c r="D50" s="10">
        <v>241</v>
      </c>
      <c r="E50" s="10">
        <v>245</v>
      </c>
      <c r="F50" s="10">
        <v>243</v>
      </c>
      <c r="G50" s="304">
        <v>241</v>
      </c>
      <c r="H50" s="304">
        <v>245</v>
      </c>
      <c r="I50" s="304">
        <v>243</v>
      </c>
      <c r="J50" s="48"/>
    </row>
    <row r="51" spans="2:10" ht="12.75">
      <c r="B51" s="63" t="s">
        <v>4</v>
      </c>
      <c r="C51" s="64"/>
      <c r="D51" s="65">
        <f aca="true" t="shared" si="4" ref="D51:I56">D7+D18+D29+D40</f>
        <v>51941.046</v>
      </c>
      <c r="E51" s="66">
        <f t="shared" si="4"/>
        <v>0</v>
      </c>
      <c r="F51" s="67">
        <f t="shared" si="4"/>
        <v>93.953</v>
      </c>
      <c r="G51" s="355">
        <f t="shared" si="4"/>
        <v>40940.991</v>
      </c>
      <c r="H51" s="356">
        <f t="shared" si="4"/>
        <v>0</v>
      </c>
      <c r="I51" s="357">
        <f t="shared" si="4"/>
        <v>49.26</v>
      </c>
      <c r="J51" s="48"/>
    </row>
    <row r="52" spans="2:10" ht="12.75">
      <c r="B52" s="68" t="s">
        <v>5</v>
      </c>
      <c r="C52" s="69"/>
      <c r="D52" s="71">
        <f t="shared" si="4"/>
        <v>10149</v>
      </c>
      <c r="E52" s="70">
        <f t="shared" si="4"/>
        <v>0</v>
      </c>
      <c r="F52" s="72">
        <f t="shared" si="4"/>
        <v>87</v>
      </c>
      <c r="G52" s="359">
        <f t="shared" si="4"/>
        <v>10011</v>
      </c>
      <c r="H52" s="358">
        <f t="shared" si="4"/>
        <v>0</v>
      </c>
      <c r="I52" s="360">
        <f t="shared" si="4"/>
        <v>86</v>
      </c>
      <c r="J52" s="48"/>
    </row>
    <row r="53" spans="2:10" ht="12.75">
      <c r="B53" s="68" t="s">
        <v>6</v>
      </c>
      <c r="C53" s="69"/>
      <c r="D53" s="71">
        <f t="shared" si="4"/>
        <v>100335.856</v>
      </c>
      <c r="E53" s="71">
        <f t="shared" si="4"/>
        <v>316.472</v>
      </c>
      <c r="F53" s="72">
        <f t="shared" si="4"/>
        <v>740.059</v>
      </c>
      <c r="G53" s="359">
        <f t="shared" si="4"/>
        <v>88032.235</v>
      </c>
      <c r="H53" s="359">
        <f t="shared" si="4"/>
        <v>0</v>
      </c>
      <c r="I53" s="360">
        <f t="shared" si="4"/>
        <v>180.11</v>
      </c>
      <c r="J53" s="48"/>
    </row>
    <row r="54" spans="2:10" ht="12.75">
      <c r="B54" s="68" t="s">
        <v>7</v>
      </c>
      <c r="C54" s="69"/>
      <c r="D54" s="71">
        <f t="shared" si="4"/>
        <v>5217.544</v>
      </c>
      <c r="E54" s="70">
        <f t="shared" si="4"/>
        <v>0</v>
      </c>
      <c r="F54" s="72">
        <f t="shared" si="4"/>
        <v>193.114</v>
      </c>
      <c r="G54" s="359">
        <f t="shared" si="4"/>
        <v>9387.862000000001</v>
      </c>
      <c r="H54" s="358">
        <f t="shared" si="4"/>
        <v>0</v>
      </c>
      <c r="I54" s="360">
        <f t="shared" si="4"/>
        <v>261.777</v>
      </c>
      <c r="J54" s="48"/>
    </row>
    <row r="55" spans="2:10" ht="12.75">
      <c r="B55" s="73" t="s">
        <v>8</v>
      </c>
      <c r="C55" s="74"/>
      <c r="D55" s="71">
        <f t="shared" si="4"/>
        <v>19298.889</v>
      </c>
      <c r="E55" s="71">
        <f t="shared" si="4"/>
        <v>25365.447</v>
      </c>
      <c r="F55" s="72">
        <f t="shared" si="4"/>
        <v>139.777</v>
      </c>
      <c r="G55" s="359">
        <f t="shared" si="4"/>
        <v>30134.308</v>
      </c>
      <c r="H55" s="359">
        <f t="shared" si="4"/>
        <v>31755.501000000004</v>
      </c>
      <c r="I55" s="360">
        <f t="shared" si="4"/>
        <v>371.55</v>
      </c>
      <c r="J55" s="48"/>
    </row>
    <row r="56" spans="2:10" ht="13.5" thickBot="1">
      <c r="B56" s="73" t="s">
        <v>9</v>
      </c>
      <c r="C56" s="75"/>
      <c r="D56" s="71">
        <f t="shared" si="4"/>
        <v>1148.496</v>
      </c>
      <c r="E56" s="70">
        <f t="shared" si="4"/>
        <v>0</v>
      </c>
      <c r="F56" s="72">
        <f t="shared" si="4"/>
        <v>19.985</v>
      </c>
      <c r="G56" s="359">
        <f t="shared" si="4"/>
        <v>773.442</v>
      </c>
      <c r="H56" s="358">
        <f t="shared" si="4"/>
        <v>0</v>
      </c>
      <c r="I56" s="360">
        <f t="shared" si="4"/>
        <v>24.155</v>
      </c>
      <c r="J56" s="48"/>
    </row>
    <row r="57" spans="2:10" ht="13.5" thickBot="1">
      <c r="B57" s="21" t="s">
        <v>16</v>
      </c>
      <c r="C57" s="42"/>
      <c r="D57" s="23">
        <f aca="true" t="shared" si="5" ref="D57:I57">SUM(D51:D56)</f>
        <v>188090.831</v>
      </c>
      <c r="E57" s="23">
        <f t="shared" si="5"/>
        <v>25681.919</v>
      </c>
      <c r="F57" s="23">
        <f t="shared" si="5"/>
        <v>1273.888</v>
      </c>
      <c r="G57" s="302">
        <f t="shared" si="5"/>
        <v>179279.838</v>
      </c>
      <c r="H57" s="302">
        <f t="shared" si="5"/>
        <v>31755.501000000004</v>
      </c>
      <c r="I57" s="302">
        <f t="shared" si="5"/>
        <v>972.8519999999999</v>
      </c>
      <c r="J57" s="48"/>
    </row>
    <row r="58" ht="12.75">
      <c r="J58" s="48"/>
    </row>
    <row r="59" ht="12.75">
      <c r="J59" s="48"/>
    </row>
    <row r="60" ht="12.75">
      <c r="J60" s="48"/>
    </row>
    <row r="61" ht="12.75">
      <c r="J61" s="48"/>
    </row>
    <row r="62" ht="12.75">
      <c r="J62" s="48"/>
    </row>
    <row r="63" ht="12.75">
      <c r="J63" s="48"/>
    </row>
    <row r="64" ht="12.75">
      <c r="J64" s="48"/>
    </row>
    <row r="65" ht="12.75">
      <c r="J65" s="48"/>
    </row>
    <row r="66" ht="12.75">
      <c r="J66" s="48"/>
    </row>
    <row r="67" ht="12.75">
      <c r="J67" s="48"/>
    </row>
    <row r="68" ht="12.75">
      <c r="J68" s="48"/>
    </row>
    <row r="69" ht="12.75">
      <c r="J69" s="48"/>
    </row>
  </sheetData>
  <sheetProtection/>
  <printOptions horizontalCentered="1" verticalCentered="1"/>
  <pageMargins left="0" right="0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2.00390625" style="1" customWidth="1"/>
    <col min="2" max="2" width="18.57421875" style="1" customWidth="1"/>
    <col min="3" max="3" width="12.140625" style="1" customWidth="1"/>
    <col min="4" max="4" width="13.28125" style="1" customWidth="1"/>
    <col min="5" max="5" width="13.57421875" style="1" customWidth="1"/>
    <col min="6" max="7" width="13.28125" style="1" customWidth="1"/>
    <col min="8" max="8" width="14.28125" style="1" customWidth="1"/>
    <col min="9" max="16384" width="9.140625" style="1" customWidth="1"/>
  </cols>
  <sheetData>
    <row r="1" ht="15.75">
      <c r="E1" s="2" t="s">
        <v>198</v>
      </c>
    </row>
    <row r="2" ht="15.75">
      <c r="B2" s="3" t="s">
        <v>206</v>
      </c>
    </row>
    <row r="3" ht="13.5" customHeight="1">
      <c r="B3" s="4" t="s">
        <v>0</v>
      </c>
    </row>
    <row r="4" ht="13.5" thickBot="1">
      <c r="E4" s="4" t="s">
        <v>1</v>
      </c>
    </row>
    <row r="5" spans="2:7" ht="43.5" customHeight="1" thickBot="1">
      <c r="B5" s="5"/>
      <c r="C5" s="361" t="s">
        <v>218</v>
      </c>
      <c r="D5" s="362" t="s">
        <v>2</v>
      </c>
      <c r="E5" s="363" t="s">
        <v>307</v>
      </c>
      <c r="F5" s="474" t="s">
        <v>308</v>
      </c>
      <c r="G5" s="348" t="s">
        <v>309</v>
      </c>
    </row>
    <row r="6" spans="2:7" ht="13.5" thickBot="1">
      <c r="B6" s="8" t="s">
        <v>3</v>
      </c>
      <c r="C6" s="9">
        <v>1</v>
      </c>
      <c r="D6" s="10">
        <v>2</v>
      </c>
      <c r="E6" s="11">
        <v>3</v>
      </c>
      <c r="F6" s="475">
        <v>4</v>
      </c>
      <c r="G6" s="10">
        <v>5</v>
      </c>
    </row>
    <row r="7" spans="2:7" ht="13.5" customHeight="1">
      <c r="B7" s="12" t="s">
        <v>4</v>
      </c>
      <c r="C7" s="224">
        <f>penFondy!H6</f>
        <v>544</v>
      </c>
      <c r="D7" s="13">
        <v>83</v>
      </c>
      <c r="E7" s="14">
        <f aca="true" t="shared" si="0" ref="E7:E12">SUM(C7:D7)</f>
        <v>627</v>
      </c>
      <c r="F7" s="476">
        <f aca="true" t="shared" si="1" ref="F7:F12">E7</f>
        <v>627</v>
      </c>
      <c r="G7" s="14"/>
    </row>
    <row r="8" spans="2:7" ht="13.5" customHeight="1">
      <c r="B8" s="16" t="s">
        <v>5</v>
      </c>
      <c r="C8" s="219">
        <f>penFondy!H7</f>
        <v>259</v>
      </c>
      <c r="D8" s="230"/>
      <c r="E8" s="18">
        <f t="shared" si="0"/>
        <v>259</v>
      </c>
      <c r="F8" s="477">
        <f t="shared" si="1"/>
        <v>259</v>
      </c>
      <c r="G8" s="352"/>
    </row>
    <row r="9" spans="2:7" ht="13.5" customHeight="1">
      <c r="B9" s="16" t="s">
        <v>6</v>
      </c>
      <c r="C9" s="219">
        <f>penFondy!H8</f>
        <v>202.765</v>
      </c>
      <c r="D9" s="230"/>
      <c r="E9" s="18">
        <f t="shared" si="0"/>
        <v>202.765</v>
      </c>
      <c r="F9" s="477">
        <f t="shared" si="1"/>
        <v>202.765</v>
      </c>
      <c r="G9" s="352"/>
    </row>
    <row r="10" spans="2:7" ht="13.5" customHeight="1">
      <c r="B10" s="16" t="s">
        <v>7</v>
      </c>
      <c r="C10" s="219">
        <f>penFondy!H9</f>
        <v>1123.68</v>
      </c>
      <c r="D10" s="230">
        <v>1255</v>
      </c>
      <c r="E10" s="18">
        <f t="shared" si="0"/>
        <v>2378.6800000000003</v>
      </c>
      <c r="F10" s="477">
        <f t="shared" si="1"/>
        <v>2378.6800000000003</v>
      </c>
      <c r="G10" s="352"/>
    </row>
    <row r="11" spans="2:7" ht="13.5" customHeight="1">
      <c r="B11" s="16" t="s">
        <v>8</v>
      </c>
      <c r="C11" s="219">
        <f>penFondy!H10</f>
        <v>496.45900000000006</v>
      </c>
      <c r="D11" s="230">
        <v>800</v>
      </c>
      <c r="E11" s="18">
        <f t="shared" si="0"/>
        <v>1296.459</v>
      </c>
      <c r="F11" s="477">
        <f t="shared" si="1"/>
        <v>1296.459</v>
      </c>
      <c r="G11" s="352"/>
    </row>
    <row r="12" spans="2:7" ht="13.5" customHeight="1" thickBot="1">
      <c r="B12" s="19" t="s">
        <v>9</v>
      </c>
      <c r="C12" s="219">
        <f>penFondy!H11</f>
        <v>0</v>
      </c>
      <c r="D12" s="301"/>
      <c r="E12" s="20">
        <f t="shared" si="0"/>
        <v>0</v>
      </c>
      <c r="F12" s="478">
        <f t="shared" si="1"/>
        <v>0</v>
      </c>
      <c r="G12" s="353"/>
    </row>
    <row r="13" spans="2:7" ht="16.5" customHeight="1" thickBot="1">
      <c r="B13" s="21" t="s">
        <v>10</v>
      </c>
      <c r="C13" s="22">
        <f>SUM(C7:C12)</f>
        <v>2625.9040000000005</v>
      </c>
      <c r="D13" s="302">
        <f>SUM(D7:D12)</f>
        <v>2138</v>
      </c>
      <c r="E13" s="23">
        <f>SUM(E7:E12)</f>
        <v>4763.904</v>
      </c>
      <c r="F13" s="479">
        <f>SUM(F7:F12)</f>
        <v>4763.904</v>
      </c>
      <c r="G13" s="302">
        <f>SUM(G7:G12)</f>
        <v>0</v>
      </c>
    </row>
    <row r="14" spans="4:7" ht="13.5" thickBot="1">
      <c r="D14" s="303"/>
      <c r="F14" s="480"/>
      <c r="G14" s="303"/>
    </row>
    <row r="15" spans="2:7" ht="13.5" thickBot="1">
      <c r="B15" s="24" t="s">
        <v>11</v>
      </c>
      <c r="C15" s="9">
        <v>1</v>
      </c>
      <c r="D15" s="304">
        <v>2</v>
      </c>
      <c r="E15" s="11">
        <v>3</v>
      </c>
      <c r="F15" s="475">
        <v>4</v>
      </c>
      <c r="G15" s="304">
        <v>5</v>
      </c>
    </row>
    <row r="16" spans="2:7" ht="12.75">
      <c r="B16" s="12" t="s">
        <v>4</v>
      </c>
      <c r="C16" s="224">
        <f>penFondy!H26</f>
        <v>36687.242</v>
      </c>
      <c r="D16" s="305">
        <v>20.70539</v>
      </c>
      <c r="E16" s="14">
        <f aca="true" t="shared" si="2" ref="E16:E21">SUM(C16:D16)</f>
        <v>36707.94739</v>
      </c>
      <c r="F16" s="476">
        <f aca="true" t="shared" si="3" ref="F16:F21">E16-G16</f>
        <v>2969.2683900000047</v>
      </c>
      <c r="G16" s="351">
        <v>33738.679</v>
      </c>
    </row>
    <row r="17" spans="2:7" ht="12.75">
      <c r="B17" s="16" t="s">
        <v>5</v>
      </c>
      <c r="C17" s="219">
        <f>penFondy!H27</f>
        <v>131</v>
      </c>
      <c r="D17" s="230">
        <v>44</v>
      </c>
      <c r="E17" s="18">
        <f t="shared" si="2"/>
        <v>175</v>
      </c>
      <c r="F17" s="477">
        <f t="shared" si="3"/>
        <v>175</v>
      </c>
      <c r="G17" s="352"/>
    </row>
    <row r="18" spans="2:7" ht="12.75">
      <c r="B18" s="16" t="s">
        <v>6</v>
      </c>
      <c r="C18" s="219">
        <f>penFondy!H28</f>
        <v>87506.90899999999</v>
      </c>
      <c r="D18" s="230">
        <v>336.77777</v>
      </c>
      <c r="E18" s="18">
        <f t="shared" si="2"/>
        <v>87843.68676999999</v>
      </c>
      <c r="F18" s="477">
        <f t="shared" si="3"/>
        <v>922.3527199999808</v>
      </c>
      <c r="G18" s="352">
        <v>86921.33405</v>
      </c>
    </row>
    <row r="19" spans="2:7" ht="12.75">
      <c r="B19" s="16" t="s">
        <v>7</v>
      </c>
      <c r="C19" s="219">
        <f>penFondy!H29</f>
        <v>14420.041000000001</v>
      </c>
      <c r="D19" s="230">
        <v>314.08354</v>
      </c>
      <c r="E19" s="18">
        <f t="shared" si="2"/>
        <v>14734.12454</v>
      </c>
      <c r="F19" s="477">
        <f t="shared" si="3"/>
        <v>5724.9834200000005</v>
      </c>
      <c r="G19" s="352">
        <v>9009.14112</v>
      </c>
    </row>
    <row r="20" spans="2:7" ht="12.75">
      <c r="B20" s="16" t="s">
        <v>8</v>
      </c>
      <c r="C20" s="219">
        <f>penFondy!H30</f>
        <v>35916.498999999996</v>
      </c>
      <c r="D20" s="230">
        <v>383.964</v>
      </c>
      <c r="E20" s="18">
        <f t="shared" si="2"/>
        <v>36300.462999999996</v>
      </c>
      <c r="F20" s="477">
        <f t="shared" si="3"/>
        <v>9741.588889999995</v>
      </c>
      <c r="G20" s="352">
        <v>26558.87411</v>
      </c>
    </row>
    <row r="21" spans="2:7" ht="13.5" thickBot="1">
      <c r="B21" s="19" t="s">
        <v>9</v>
      </c>
      <c r="C21" s="225">
        <f>penFondy!H31</f>
        <v>400.618</v>
      </c>
      <c r="D21" s="230"/>
      <c r="E21" s="18">
        <f t="shared" si="2"/>
        <v>400.618</v>
      </c>
      <c r="F21" s="477">
        <f t="shared" si="3"/>
        <v>400.618</v>
      </c>
      <c r="G21" s="352"/>
    </row>
    <row r="22" spans="2:7" ht="13.5" thickBot="1">
      <c r="B22" s="21" t="s">
        <v>12</v>
      </c>
      <c r="C22" s="25">
        <f>SUM(C16:C21)</f>
        <v>175062.30899999998</v>
      </c>
      <c r="D22" s="23">
        <f>SUM(D16:D21)</f>
        <v>1099.5307</v>
      </c>
      <c r="E22" s="23">
        <f>SUM(E16:E21)</f>
        <v>176161.83969999995</v>
      </c>
      <c r="F22" s="23">
        <f>SUM(F16:F21)</f>
        <v>19933.81141999998</v>
      </c>
      <c r="G22" s="23">
        <f>SUM(G16:G21)</f>
        <v>156228.02828</v>
      </c>
    </row>
    <row r="23" ht="13.5" thickBot="1"/>
    <row r="24" spans="2:7" ht="13.5" thickBot="1">
      <c r="B24" s="24" t="s">
        <v>13</v>
      </c>
      <c r="C24" s="9">
        <v>1</v>
      </c>
      <c r="D24" s="10">
        <v>2</v>
      </c>
      <c r="E24" s="11">
        <v>3</v>
      </c>
      <c r="F24" s="10">
        <v>4</v>
      </c>
      <c r="G24" s="10">
        <v>5</v>
      </c>
    </row>
    <row r="25" spans="2:7" ht="12.75">
      <c r="B25" s="12" t="s">
        <v>4</v>
      </c>
      <c r="C25" s="224">
        <f>penFondy!H36</f>
        <v>3709.839</v>
      </c>
      <c r="D25" s="224"/>
      <c r="E25" s="14">
        <f aca="true" t="shared" si="4" ref="E25:E30">SUM(C25:D25)</f>
        <v>3709.839</v>
      </c>
      <c r="F25" s="447">
        <f aca="true" t="shared" si="5" ref="F25:F30">E25</f>
        <v>3709.839</v>
      </c>
      <c r="G25" s="448"/>
    </row>
    <row r="26" spans="2:7" ht="12.75">
      <c r="B26" s="16" t="s">
        <v>5</v>
      </c>
      <c r="C26" s="219">
        <f>penFondy!H37</f>
        <v>9621</v>
      </c>
      <c r="D26" s="219"/>
      <c r="E26" s="18">
        <f t="shared" si="4"/>
        <v>9621</v>
      </c>
      <c r="F26" s="449">
        <f t="shared" si="5"/>
        <v>9621</v>
      </c>
      <c r="G26" s="450"/>
    </row>
    <row r="27" spans="2:7" ht="12.75">
      <c r="B27" s="16" t="s">
        <v>6</v>
      </c>
      <c r="C27" s="219">
        <f>penFondy!H38</f>
        <v>322.56100000000015</v>
      </c>
      <c r="D27" s="219"/>
      <c r="E27" s="18">
        <f t="shared" si="4"/>
        <v>322.56100000000015</v>
      </c>
      <c r="F27" s="449">
        <f t="shared" si="5"/>
        <v>322.56100000000015</v>
      </c>
      <c r="G27" s="450"/>
    </row>
    <row r="28" spans="2:7" ht="12.75">
      <c r="B28" s="16" t="s">
        <v>7</v>
      </c>
      <c r="C28" s="219">
        <f>penFondy!H39</f>
        <v>2852.282</v>
      </c>
      <c r="D28" s="219"/>
      <c r="E28" s="18">
        <f t="shared" si="4"/>
        <v>2852.282</v>
      </c>
      <c r="F28" s="449">
        <f t="shared" si="5"/>
        <v>2852.282</v>
      </c>
      <c r="G28" s="450"/>
    </row>
    <row r="29" spans="2:7" ht="12.75">
      <c r="B29" s="16" t="s">
        <v>8</v>
      </c>
      <c r="C29" s="219">
        <f>penFondy!H40</f>
        <v>20788.244000000002</v>
      </c>
      <c r="D29" s="219"/>
      <c r="E29" s="18">
        <f t="shared" si="4"/>
        <v>20788.244000000002</v>
      </c>
      <c r="F29" s="449">
        <f t="shared" si="5"/>
        <v>20788.244000000002</v>
      </c>
      <c r="G29" s="450"/>
    </row>
    <row r="30" spans="2:7" ht="13.5" thickBot="1">
      <c r="B30" s="19" t="s">
        <v>9</v>
      </c>
      <c r="C30" s="225">
        <f>penFondy!H41</f>
        <v>1540.2040000000002</v>
      </c>
      <c r="D30" s="219"/>
      <c r="E30" s="18">
        <f t="shared" si="4"/>
        <v>1540.2040000000002</v>
      </c>
      <c r="F30" s="449">
        <f t="shared" si="5"/>
        <v>1540.2040000000002</v>
      </c>
      <c r="G30" s="450"/>
    </row>
    <row r="31" spans="2:7" ht="13.5" thickBot="1">
      <c r="B31" s="21" t="s">
        <v>14</v>
      </c>
      <c r="C31" s="25">
        <f>SUM(C25:C30)</f>
        <v>38834.130000000005</v>
      </c>
      <c r="D31" s="23">
        <f>SUM(D25:D30)</f>
        <v>0</v>
      </c>
      <c r="E31" s="23">
        <f>SUM(E25:E30)</f>
        <v>38834.130000000005</v>
      </c>
      <c r="F31" s="23">
        <f>SUM(F25:F30)</f>
        <v>38834.130000000005</v>
      </c>
      <c r="G31" s="23">
        <f>SUM(G25:G30)</f>
        <v>0</v>
      </c>
    </row>
    <row r="32" spans="2:7" ht="13.5" thickBot="1">
      <c r="B32" s="27"/>
      <c r="C32" s="28"/>
      <c r="D32" s="29"/>
      <c r="E32" s="29"/>
      <c r="F32" s="29"/>
      <c r="G32" s="29"/>
    </row>
    <row r="33" spans="2:7" ht="13.5" thickBot="1">
      <c r="B33" s="24" t="s">
        <v>15</v>
      </c>
      <c r="C33" s="30">
        <v>1</v>
      </c>
      <c r="D33" s="10">
        <v>2</v>
      </c>
      <c r="E33" s="11">
        <v>3</v>
      </c>
      <c r="F33" s="10">
        <v>4</v>
      </c>
      <c r="G33" s="10">
        <v>5</v>
      </c>
    </row>
    <row r="34" spans="2:7" ht="12.75">
      <c r="B34" s="12" t="s">
        <v>4</v>
      </c>
      <c r="C34" s="31">
        <f aca="true" t="shared" si="6" ref="C34:C39">SUM(C7,C16,C25)</f>
        <v>40941.081</v>
      </c>
      <c r="D34" s="32">
        <f aca="true" t="shared" si="7" ref="D34:E39">D7+D16+D25</f>
        <v>103.70539</v>
      </c>
      <c r="E34" s="33">
        <f t="shared" si="7"/>
        <v>41044.78639</v>
      </c>
      <c r="F34" s="451">
        <f aca="true" t="shared" si="8" ref="F34:G39">F7+F16+F25</f>
        <v>7306.107390000005</v>
      </c>
      <c r="G34" s="33">
        <f t="shared" si="8"/>
        <v>33738.679</v>
      </c>
    </row>
    <row r="35" spans="2:7" ht="12.75">
      <c r="B35" s="16" t="s">
        <v>5</v>
      </c>
      <c r="C35" s="34">
        <f t="shared" si="6"/>
        <v>10011</v>
      </c>
      <c r="D35" s="35">
        <f t="shared" si="7"/>
        <v>44</v>
      </c>
      <c r="E35" s="26">
        <f t="shared" si="7"/>
        <v>10055</v>
      </c>
      <c r="F35" s="452">
        <f t="shared" si="8"/>
        <v>10055</v>
      </c>
      <c r="G35" s="26">
        <f t="shared" si="8"/>
        <v>0</v>
      </c>
    </row>
    <row r="36" spans="2:7" ht="12.75">
      <c r="B36" s="16" t="s">
        <v>6</v>
      </c>
      <c r="C36" s="34">
        <f t="shared" si="6"/>
        <v>88032.23499999999</v>
      </c>
      <c r="D36" s="35">
        <f t="shared" si="7"/>
        <v>336.77777</v>
      </c>
      <c r="E36" s="26">
        <f t="shared" si="7"/>
        <v>88369.01276999999</v>
      </c>
      <c r="F36" s="452">
        <f t="shared" si="8"/>
        <v>1447.6787199999808</v>
      </c>
      <c r="G36" s="26">
        <f t="shared" si="8"/>
        <v>86921.33405</v>
      </c>
    </row>
    <row r="37" spans="2:7" ht="12.75">
      <c r="B37" s="16" t="s">
        <v>7</v>
      </c>
      <c r="C37" s="34">
        <f t="shared" si="6"/>
        <v>18396.003</v>
      </c>
      <c r="D37" s="35">
        <f t="shared" si="7"/>
        <v>1569.08354</v>
      </c>
      <c r="E37" s="26">
        <f t="shared" si="7"/>
        <v>19965.08654</v>
      </c>
      <c r="F37" s="452">
        <f t="shared" si="8"/>
        <v>10955.94542</v>
      </c>
      <c r="G37" s="26">
        <f t="shared" si="8"/>
        <v>9009.14112</v>
      </c>
    </row>
    <row r="38" spans="2:7" ht="12.75">
      <c r="B38" s="16" t="s">
        <v>8</v>
      </c>
      <c r="C38" s="34">
        <f t="shared" si="6"/>
        <v>57201.202000000005</v>
      </c>
      <c r="D38" s="35">
        <f t="shared" si="7"/>
        <v>1183.964</v>
      </c>
      <c r="E38" s="26">
        <f t="shared" si="7"/>
        <v>58385.166</v>
      </c>
      <c r="F38" s="452">
        <f t="shared" si="8"/>
        <v>31826.29189</v>
      </c>
      <c r="G38" s="26">
        <f t="shared" si="8"/>
        <v>26558.87411</v>
      </c>
    </row>
    <row r="39" spans="2:7" ht="13.5" thickBot="1">
      <c r="B39" s="19" t="s">
        <v>9</v>
      </c>
      <c r="C39" s="34">
        <f t="shared" si="6"/>
        <v>1940.8220000000001</v>
      </c>
      <c r="D39" s="35">
        <f t="shared" si="7"/>
        <v>0</v>
      </c>
      <c r="E39" s="26">
        <f t="shared" si="7"/>
        <v>1940.8220000000001</v>
      </c>
      <c r="F39" s="452">
        <f t="shared" si="8"/>
        <v>1940.8220000000001</v>
      </c>
      <c r="G39" s="26">
        <f t="shared" si="8"/>
        <v>0</v>
      </c>
    </row>
    <row r="40" spans="2:7" ht="13.5" thickBot="1">
      <c r="B40" s="21" t="s">
        <v>16</v>
      </c>
      <c r="C40" s="36">
        <f>SUM(C34:C39)</f>
        <v>216522.343</v>
      </c>
      <c r="D40" s="23">
        <f>SUM(D34:D39)</f>
        <v>3237.5307000000003</v>
      </c>
      <c r="E40" s="23">
        <f>SUM(E34:E39)</f>
        <v>219759.8737</v>
      </c>
      <c r="F40" s="23">
        <f>SUM(F34:F39)</f>
        <v>63531.84541999998</v>
      </c>
      <c r="G40" s="23">
        <f>SUM(G34:G39)</f>
        <v>156228.02828</v>
      </c>
    </row>
  </sheetData>
  <sheetProtection/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0.140625" style="0" customWidth="1"/>
    <col min="4" max="4" width="9.57421875" style="0" customWidth="1"/>
    <col min="9" max="9" width="10.28125" style="0" customWidth="1"/>
  </cols>
  <sheetData>
    <row r="1" ht="12.75">
      <c r="I1" s="406" t="s">
        <v>295</v>
      </c>
    </row>
    <row r="3" spans="1:9" ht="24.75" customHeight="1">
      <c r="A3" s="456" t="s">
        <v>294</v>
      </c>
      <c r="B3" s="457"/>
      <c r="C3" s="457"/>
      <c r="D3" s="457"/>
      <c r="E3" s="457"/>
      <c r="F3" s="457"/>
      <c r="G3" s="457"/>
      <c r="H3" s="457"/>
      <c r="I3" s="457"/>
    </row>
    <row r="5" spans="1:9" ht="30">
      <c r="A5" s="397" t="s">
        <v>100</v>
      </c>
      <c r="B5" s="398" t="s">
        <v>273</v>
      </c>
      <c r="C5" s="398" t="s">
        <v>274</v>
      </c>
      <c r="D5" s="399" t="s">
        <v>138</v>
      </c>
      <c r="E5" s="398" t="s">
        <v>293</v>
      </c>
      <c r="F5" s="398" t="s">
        <v>21</v>
      </c>
      <c r="G5" s="399" t="s">
        <v>296</v>
      </c>
      <c r="H5" s="398" t="s">
        <v>276</v>
      </c>
      <c r="I5" s="398" t="s">
        <v>102</v>
      </c>
    </row>
    <row r="6" spans="1:9" ht="15" customHeight="1">
      <c r="A6" s="399" t="s">
        <v>277</v>
      </c>
      <c r="B6" s="400">
        <v>5398</v>
      </c>
      <c r="C6" s="400">
        <f>800+1683+38+398</f>
        <v>2919</v>
      </c>
      <c r="D6" s="103">
        <f>B6+C6</f>
        <v>8317</v>
      </c>
      <c r="E6" s="412">
        <f>G6-F6</f>
        <v>1901.04</v>
      </c>
      <c r="F6" s="412">
        <f>B6*0.02</f>
        <v>107.96000000000001</v>
      </c>
      <c r="G6" s="401">
        <f>1836+65+108</f>
        <v>2009</v>
      </c>
      <c r="H6" s="401">
        <f>670+1128+122+327</f>
        <v>2247</v>
      </c>
      <c r="I6" s="103">
        <f>D6+G6+H6</f>
        <v>12573</v>
      </c>
    </row>
    <row r="7" spans="1:9" ht="19.5" customHeight="1">
      <c r="A7" s="399" t="s">
        <v>278</v>
      </c>
      <c r="B7" s="400">
        <f>341.7+60.3+1744.2+307.8</f>
        <v>2454</v>
      </c>
      <c r="C7" s="400">
        <f>19846.225+3502.275+9561.225+1687.275</f>
        <v>34597</v>
      </c>
      <c r="D7" s="103">
        <f>B7+C7</f>
        <v>37051</v>
      </c>
      <c r="E7" s="412">
        <f>G7-F7</f>
        <v>12455.92</v>
      </c>
      <c r="F7" s="412">
        <f>B7*0.02</f>
        <v>49.08</v>
      </c>
      <c r="G7" s="401">
        <v>12505</v>
      </c>
      <c r="H7" s="401">
        <v>3503</v>
      </c>
      <c r="I7" s="103">
        <f>D7+G7+H7</f>
        <v>53059</v>
      </c>
    </row>
    <row r="8" spans="1:9" ht="14.25" customHeight="1">
      <c r="A8" s="399" t="s">
        <v>279</v>
      </c>
      <c r="B8" s="401">
        <v>3702</v>
      </c>
      <c r="C8" s="401">
        <v>55460</v>
      </c>
      <c r="D8" s="103">
        <f>B8+C8</f>
        <v>59162</v>
      </c>
      <c r="E8" s="412">
        <f>G8-F8</f>
        <v>19757.96</v>
      </c>
      <c r="F8" s="412">
        <f>B8*0.02</f>
        <v>74.04</v>
      </c>
      <c r="G8" s="401">
        <f>19583+249</f>
        <v>19832</v>
      </c>
      <c r="H8" s="401">
        <v>10412</v>
      </c>
      <c r="I8" s="103">
        <f>D8+G8+H8</f>
        <v>89406</v>
      </c>
    </row>
    <row r="9" spans="1:9" ht="15">
      <c r="A9" s="397" t="s">
        <v>280</v>
      </c>
      <c r="B9" s="402">
        <f>B6+B7+B8</f>
        <v>11554</v>
      </c>
      <c r="C9" s="402">
        <f>C6+C7+C8</f>
        <v>92976</v>
      </c>
      <c r="D9" s="402">
        <f>B9+C9</f>
        <v>104530</v>
      </c>
      <c r="E9" s="402">
        <f>E6+E7+E8</f>
        <v>34114.92</v>
      </c>
      <c r="F9" s="402">
        <f>F6+F7+F8</f>
        <v>231.08000000000004</v>
      </c>
      <c r="G9" s="402">
        <f>G6+G7+G8</f>
        <v>34346</v>
      </c>
      <c r="H9" s="402">
        <f>H6+H7+H8</f>
        <v>16162</v>
      </c>
      <c r="I9" s="402">
        <f>D9+G9+H9</f>
        <v>155038</v>
      </c>
    </row>
    <row r="10" spans="1:9" ht="15" customHeight="1">
      <c r="A10" s="399" t="s">
        <v>281</v>
      </c>
      <c r="B10" s="401"/>
      <c r="C10" s="401"/>
      <c r="D10" s="401"/>
      <c r="E10" s="401"/>
      <c r="F10" s="401"/>
      <c r="G10" s="401"/>
      <c r="H10" s="401"/>
      <c r="I10" s="397">
        <v>93962</v>
      </c>
    </row>
    <row r="11" spans="1:9" ht="15">
      <c r="A11" s="399" t="s">
        <v>282</v>
      </c>
      <c r="B11" s="401"/>
      <c r="C11" s="401"/>
      <c r="D11" s="401"/>
      <c r="E11" s="401"/>
      <c r="F11" s="401"/>
      <c r="G11" s="401"/>
      <c r="H11" s="401"/>
      <c r="I11" s="401">
        <v>12573</v>
      </c>
    </row>
    <row r="12" spans="1:9" ht="12.75" customHeight="1">
      <c r="A12" s="404" t="s">
        <v>283</v>
      </c>
      <c r="B12" s="405">
        <v>2701</v>
      </c>
      <c r="C12" s="405">
        <v>52459</v>
      </c>
      <c r="D12" s="414">
        <f>B12+C12</f>
        <v>55160</v>
      </c>
      <c r="E12" s="413">
        <f>G12-F12</f>
        <v>19675.98</v>
      </c>
      <c r="F12" s="413">
        <f>B12*0.02</f>
        <v>54.02</v>
      </c>
      <c r="G12" s="405">
        <v>19730</v>
      </c>
      <c r="H12" s="405">
        <v>6499</v>
      </c>
      <c r="I12" s="414">
        <f>B12+C12+F12+E12+H12</f>
        <v>81389</v>
      </c>
    </row>
    <row r="13" spans="2:9" ht="15">
      <c r="B13" s="406" t="s">
        <v>297</v>
      </c>
      <c r="I13" s="403">
        <f>I10-I9</f>
        <v>-61076</v>
      </c>
    </row>
    <row r="14" spans="2:9" ht="15">
      <c r="B14" s="406"/>
      <c r="I14" s="403"/>
    </row>
    <row r="15" spans="1:9" ht="30">
      <c r="A15" s="417" t="s">
        <v>298</v>
      </c>
      <c r="B15" s="398" t="s">
        <v>273</v>
      </c>
      <c r="C15" s="398" t="s">
        <v>274</v>
      </c>
      <c r="D15" s="399" t="s">
        <v>138</v>
      </c>
      <c r="E15" s="398" t="s">
        <v>293</v>
      </c>
      <c r="F15" s="398" t="s">
        <v>21</v>
      </c>
      <c r="G15" s="399" t="s">
        <v>296</v>
      </c>
      <c r="H15" s="398" t="s">
        <v>276</v>
      </c>
      <c r="I15" s="398" t="s">
        <v>102</v>
      </c>
    </row>
    <row r="16" spans="1:9" ht="15">
      <c r="A16" s="399" t="s">
        <v>277</v>
      </c>
      <c r="B16" s="400">
        <v>1883</v>
      </c>
      <c r="C16" s="400">
        <v>170</v>
      </c>
      <c r="D16" s="103">
        <f>B16+C16</f>
        <v>2053</v>
      </c>
      <c r="E16" s="412">
        <v>641</v>
      </c>
      <c r="F16" s="412">
        <v>38</v>
      </c>
      <c r="G16" s="412">
        <f>F16+E16</f>
        <v>679</v>
      </c>
      <c r="H16" s="401">
        <v>2413</v>
      </c>
      <c r="I16" s="103">
        <f>D16+G16+H16</f>
        <v>5145</v>
      </c>
    </row>
    <row r="17" spans="1:9" ht="15">
      <c r="A17" s="399" t="s">
        <v>278</v>
      </c>
      <c r="B17" s="400"/>
      <c r="C17" s="400"/>
      <c r="D17" s="103">
        <f>B17+C17</f>
        <v>0</v>
      </c>
      <c r="E17" s="412"/>
      <c r="F17" s="412">
        <f>B17*0.02</f>
        <v>0</v>
      </c>
      <c r="G17" s="401"/>
      <c r="H17" s="401"/>
      <c r="I17" s="103">
        <f>D17+G17+H17</f>
        <v>0</v>
      </c>
    </row>
    <row r="18" spans="1:9" ht="15">
      <c r="A18" s="399" t="s">
        <v>279</v>
      </c>
      <c r="B18" s="401"/>
      <c r="C18" s="401"/>
      <c r="D18" s="103">
        <f>B18+C18</f>
        <v>0</v>
      </c>
      <c r="E18" s="412"/>
      <c r="F18" s="412">
        <f>B18*0.02</f>
        <v>0</v>
      </c>
      <c r="G18" s="401"/>
      <c r="H18" s="401"/>
      <c r="I18" s="103">
        <f>D18+G18+H18</f>
        <v>0</v>
      </c>
    </row>
    <row r="19" spans="1:9" ht="15">
      <c r="A19" s="397" t="s">
        <v>280</v>
      </c>
      <c r="B19" s="402">
        <f>B16+B17+B18</f>
        <v>1883</v>
      </c>
      <c r="C19" s="402">
        <f>C16+C17+C18</f>
        <v>170</v>
      </c>
      <c r="D19" s="402">
        <f>B19+C19</f>
        <v>2053</v>
      </c>
      <c r="E19" s="402">
        <f>E16+E17+E18</f>
        <v>641</v>
      </c>
      <c r="F19" s="402">
        <f>F16+F17+F18</f>
        <v>38</v>
      </c>
      <c r="G19" s="402">
        <f>G16+G17+G18</f>
        <v>679</v>
      </c>
      <c r="H19" s="402">
        <f>H16+H17+H18</f>
        <v>2413</v>
      </c>
      <c r="I19" s="402">
        <f>D19+G19+H19</f>
        <v>5145</v>
      </c>
    </row>
    <row r="20" spans="1:9" ht="15">
      <c r="A20" s="399" t="s">
        <v>281</v>
      </c>
      <c r="B20" s="401"/>
      <c r="C20" s="401"/>
      <c r="D20" s="401"/>
      <c r="E20" s="401"/>
      <c r="F20" s="401"/>
      <c r="G20" s="401"/>
      <c r="H20" s="401"/>
      <c r="I20" s="397">
        <v>5145</v>
      </c>
    </row>
    <row r="21" spans="1:9" ht="15">
      <c r="A21" s="399" t="s">
        <v>282</v>
      </c>
      <c r="B21" s="401"/>
      <c r="C21" s="401"/>
      <c r="D21" s="401"/>
      <c r="E21" s="401"/>
      <c r="F21" s="401"/>
      <c r="G21" s="401"/>
      <c r="H21" s="401"/>
      <c r="I21" s="401">
        <v>5145</v>
      </c>
    </row>
    <row r="22" spans="1:9" ht="15">
      <c r="A22" s="404" t="s">
        <v>283</v>
      </c>
      <c r="B22" s="405"/>
      <c r="C22" s="405"/>
      <c r="D22" s="414">
        <f>B22+C22</f>
        <v>0</v>
      </c>
      <c r="E22" s="413"/>
      <c r="F22" s="413">
        <f>B22*0.02</f>
        <v>0</v>
      </c>
      <c r="G22" s="405"/>
      <c r="H22" s="405"/>
      <c r="I22" s="414">
        <f>B22+C22+F22+E22+H22</f>
        <v>0</v>
      </c>
    </row>
    <row r="23" spans="2:9" ht="15">
      <c r="B23" s="406" t="s">
        <v>297</v>
      </c>
      <c r="I23" s="403">
        <f>I20-I19</f>
        <v>0</v>
      </c>
    </row>
    <row r="25" spans="1:9" ht="30">
      <c r="A25" s="397" t="s">
        <v>284</v>
      </c>
      <c r="B25" s="398" t="s">
        <v>273</v>
      </c>
      <c r="C25" s="398" t="s">
        <v>274</v>
      </c>
      <c r="D25" s="399" t="s">
        <v>138</v>
      </c>
      <c r="E25" s="398" t="s">
        <v>293</v>
      </c>
      <c r="F25" s="398" t="s">
        <v>21</v>
      </c>
      <c r="G25" s="398" t="s">
        <v>275</v>
      </c>
      <c r="H25" s="398" t="s">
        <v>276</v>
      </c>
      <c r="I25" s="398" t="s">
        <v>102</v>
      </c>
    </row>
    <row r="26" spans="1:9" ht="15">
      <c r="A26" s="399" t="s">
        <v>277</v>
      </c>
      <c r="B26" s="400">
        <f>19888+2213+569</f>
        <v>22670</v>
      </c>
      <c r="C26" s="400">
        <f>1364+966+430</f>
        <v>2760</v>
      </c>
      <c r="D26" s="103">
        <f>B26+C26</f>
        <v>25430</v>
      </c>
      <c r="E26" s="412">
        <f>G26-F26</f>
        <v>8315.6</v>
      </c>
      <c r="F26" s="412">
        <f>B26*0.02+1</f>
        <v>454.40000000000003</v>
      </c>
      <c r="G26" s="401">
        <f>7226+822+268+398+44+12</f>
        <v>8770</v>
      </c>
      <c r="H26" s="401">
        <f>4411+1570+1833</f>
        <v>7814</v>
      </c>
      <c r="I26" s="103">
        <f>D26+G26+H26</f>
        <v>42014</v>
      </c>
    </row>
    <row r="27" spans="1:9" ht="15">
      <c r="A27" s="399" t="s">
        <v>278</v>
      </c>
      <c r="B27" s="400">
        <v>28822</v>
      </c>
      <c r="C27" s="400">
        <v>54012</v>
      </c>
      <c r="D27" s="103">
        <f>B27+C27</f>
        <v>82834</v>
      </c>
      <c r="E27" s="412">
        <f>G27-F27</f>
        <v>16821.56</v>
      </c>
      <c r="F27" s="412">
        <f>B27*0.02</f>
        <v>576.44</v>
      </c>
      <c r="G27" s="401">
        <f>16819+579</f>
        <v>17398</v>
      </c>
      <c r="H27" s="401">
        <v>15587</v>
      </c>
      <c r="I27" s="103">
        <f>D27+G27+H27</f>
        <v>115819</v>
      </c>
    </row>
    <row r="28" spans="1:9" ht="15">
      <c r="A28" s="399" t="s">
        <v>279</v>
      </c>
      <c r="B28" s="401">
        <v>49473</v>
      </c>
      <c r="C28" s="401">
        <v>67704</v>
      </c>
      <c r="D28" s="103">
        <f>B28+C28</f>
        <v>117177</v>
      </c>
      <c r="E28" s="412">
        <f>G28-F28</f>
        <v>23912.54</v>
      </c>
      <c r="F28" s="412">
        <f>B28*0.02</f>
        <v>989.46</v>
      </c>
      <c r="G28" s="401">
        <f>23887+1015</f>
        <v>24902</v>
      </c>
      <c r="H28" s="401">
        <v>24901</v>
      </c>
      <c r="I28" s="103">
        <f>D28+G28+H28</f>
        <v>166980</v>
      </c>
    </row>
    <row r="29" spans="1:9" ht="15">
      <c r="A29" s="397" t="s">
        <v>280</v>
      </c>
      <c r="B29" s="402">
        <f>B26+B27+B28</f>
        <v>100965</v>
      </c>
      <c r="C29" s="402">
        <f>C26+C27+C28</f>
        <v>124476</v>
      </c>
      <c r="D29" s="402">
        <f>B29+C29</f>
        <v>225441</v>
      </c>
      <c r="E29" s="402">
        <f>E26+E27+E28</f>
        <v>49049.700000000004</v>
      </c>
      <c r="F29" s="402">
        <f>F26+F27+F28</f>
        <v>2020.3000000000002</v>
      </c>
      <c r="G29" s="402">
        <f>G26+G27+G28</f>
        <v>51070</v>
      </c>
      <c r="H29" s="402">
        <f>H26+H27+H28</f>
        <v>48302</v>
      </c>
      <c r="I29" s="402">
        <f>D29+G29+H29</f>
        <v>324813</v>
      </c>
    </row>
    <row r="30" spans="1:9" ht="15">
      <c r="A30" s="399" t="s">
        <v>281</v>
      </c>
      <c r="B30" s="401"/>
      <c r="C30" s="401"/>
      <c r="D30" s="401"/>
      <c r="E30" s="401"/>
      <c r="F30" s="401"/>
      <c r="G30" s="401"/>
      <c r="H30" s="401"/>
      <c r="I30" s="397">
        <v>195744</v>
      </c>
    </row>
    <row r="31" spans="1:9" ht="15">
      <c r="A31" s="399" t="s">
        <v>282</v>
      </c>
      <c r="B31" s="401"/>
      <c r="C31" s="401"/>
      <c r="D31" s="401"/>
      <c r="E31" s="401"/>
      <c r="F31" s="401"/>
      <c r="G31" s="401"/>
      <c r="H31" s="401"/>
      <c r="I31" s="401">
        <v>42014</v>
      </c>
    </row>
    <row r="32" spans="1:9" ht="15">
      <c r="A32" s="404" t="s">
        <v>283</v>
      </c>
      <c r="B32" s="405">
        <v>44828</v>
      </c>
      <c r="C32" s="405">
        <v>67372</v>
      </c>
      <c r="D32" s="414">
        <f>B32+C32</f>
        <v>112200</v>
      </c>
      <c r="E32" s="413">
        <f>G32-F32</f>
        <v>22122.44</v>
      </c>
      <c r="F32" s="413">
        <f>B32*0.02</f>
        <v>896.5600000000001</v>
      </c>
      <c r="G32" s="405">
        <v>23019</v>
      </c>
      <c r="H32" s="405">
        <v>18511</v>
      </c>
      <c r="I32" s="414">
        <v>153730</v>
      </c>
    </row>
    <row r="33" spans="2:9" ht="15">
      <c r="B33" s="406" t="s">
        <v>297</v>
      </c>
      <c r="I33" s="403">
        <f>I30-I29</f>
        <v>-129069</v>
      </c>
    </row>
    <row r="35" spans="1:9" ht="30">
      <c r="A35" s="397" t="s">
        <v>285</v>
      </c>
      <c r="B35" s="398" t="s">
        <v>273</v>
      </c>
      <c r="C35" s="398" t="s">
        <v>274</v>
      </c>
      <c r="D35" s="399" t="s">
        <v>138</v>
      </c>
      <c r="E35" s="398" t="s">
        <v>293</v>
      </c>
      <c r="F35" s="398" t="s">
        <v>21</v>
      </c>
      <c r="G35" s="398" t="s">
        <v>275</v>
      </c>
      <c r="H35" s="398" t="s">
        <v>276</v>
      </c>
      <c r="I35" s="398" t="s">
        <v>102</v>
      </c>
    </row>
    <row r="36" spans="1:9" ht="15">
      <c r="A36" s="399" t="s">
        <v>277</v>
      </c>
      <c r="B36" s="400">
        <v>13980</v>
      </c>
      <c r="C36" s="400">
        <f>2259+2829+250+310</f>
        <v>5648</v>
      </c>
      <c r="D36" s="103">
        <f>B36+C36</f>
        <v>19628</v>
      </c>
      <c r="E36" s="412">
        <f>G36-F36</f>
        <v>5059.4</v>
      </c>
      <c r="F36" s="412">
        <f>B36*0.02-1</f>
        <v>278.6</v>
      </c>
      <c r="G36" s="401">
        <f>4864+76+79+40+279</f>
        <v>5338</v>
      </c>
      <c r="H36" s="401">
        <f>6304+1026+262+1300</f>
        <v>8892</v>
      </c>
      <c r="I36" s="103">
        <f>D36+G36+H36</f>
        <v>33858</v>
      </c>
    </row>
    <row r="37" spans="1:9" ht="15">
      <c r="A37" s="399" t="s">
        <v>278</v>
      </c>
      <c r="B37" s="400">
        <v>5580</v>
      </c>
      <c r="C37" s="400">
        <v>3160</v>
      </c>
      <c r="D37" s="103">
        <f>B37+C37</f>
        <v>8740</v>
      </c>
      <c r="E37" s="412">
        <f>G37-F37</f>
        <v>2429.4</v>
      </c>
      <c r="F37" s="412">
        <f>B37*0.02</f>
        <v>111.60000000000001</v>
      </c>
      <c r="G37" s="401">
        <f>2429+112</f>
        <v>2541</v>
      </c>
      <c r="H37" s="401">
        <v>3550</v>
      </c>
      <c r="I37" s="103">
        <f>D37+G37+H37</f>
        <v>14831</v>
      </c>
    </row>
    <row r="38" spans="1:9" ht="15">
      <c r="A38" s="399" t="s">
        <v>279</v>
      </c>
      <c r="B38" s="401">
        <v>9920</v>
      </c>
      <c r="C38" s="401">
        <v>8055</v>
      </c>
      <c r="D38" s="103">
        <f>B38+C38</f>
        <v>17975</v>
      </c>
      <c r="E38" s="412">
        <f>G38-F38</f>
        <v>5572.6</v>
      </c>
      <c r="F38" s="412">
        <f>B38*0.02</f>
        <v>198.4</v>
      </c>
      <c r="G38" s="401">
        <f>5559+212</f>
        <v>5771</v>
      </c>
      <c r="H38" s="401">
        <v>4059</v>
      </c>
      <c r="I38" s="103">
        <f>D38+G38+H38</f>
        <v>27805</v>
      </c>
    </row>
    <row r="39" spans="1:9" ht="15">
      <c r="A39" s="397" t="s">
        <v>280</v>
      </c>
      <c r="B39" s="402">
        <f>B36+B37+B38</f>
        <v>29480</v>
      </c>
      <c r="C39" s="402">
        <f>C36+C37+C38</f>
        <v>16863</v>
      </c>
      <c r="D39" s="402">
        <f>B39+C39</f>
        <v>46343</v>
      </c>
      <c r="E39" s="402">
        <f>E36+E37+E38</f>
        <v>13061.4</v>
      </c>
      <c r="F39" s="402">
        <f>F36+F37+F38</f>
        <v>588.6</v>
      </c>
      <c r="G39" s="402">
        <f>G36+G37+G38</f>
        <v>13650</v>
      </c>
      <c r="H39" s="402">
        <f>H36+H37+H38</f>
        <v>16501</v>
      </c>
      <c r="I39" s="402">
        <f>D39+G39+H39</f>
        <v>76494</v>
      </c>
    </row>
    <row r="40" spans="1:9" ht="15">
      <c r="A40" s="399" t="s">
        <v>281</v>
      </c>
      <c r="B40" s="401"/>
      <c r="C40" s="401"/>
      <c r="D40" s="401"/>
      <c r="E40" s="401"/>
      <c r="F40" s="401"/>
      <c r="G40" s="401"/>
      <c r="H40" s="401"/>
      <c r="I40" s="397">
        <v>60376</v>
      </c>
    </row>
    <row r="41" spans="1:9" ht="15">
      <c r="A41" s="399" t="s">
        <v>282</v>
      </c>
      <c r="B41" s="401"/>
      <c r="C41" s="401"/>
      <c r="D41" s="401"/>
      <c r="E41" s="401"/>
      <c r="F41" s="401"/>
      <c r="G41" s="401"/>
      <c r="H41" s="401"/>
      <c r="I41" s="401">
        <v>33858</v>
      </c>
    </row>
    <row r="42" spans="1:9" ht="15">
      <c r="A42" s="404" t="s">
        <v>283</v>
      </c>
      <c r="B42" s="405">
        <v>9920</v>
      </c>
      <c r="C42" s="405">
        <v>7965</v>
      </c>
      <c r="D42" s="414">
        <f>B42+C42</f>
        <v>17885</v>
      </c>
      <c r="E42" s="413">
        <v>4575</v>
      </c>
      <c r="F42" s="413">
        <v>197</v>
      </c>
      <c r="G42" s="413">
        <f>F42+E42</f>
        <v>4772</v>
      </c>
      <c r="H42" s="405">
        <v>3861</v>
      </c>
      <c r="I42" s="414">
        <f>D42+H42+G42</f>
        <v>26518</v>
      </c>
    </row>
    <row r="43" spans="2:9" ht="15">
      <c r="B43" s="406" t="s">
        <v>297</v>
      </c>
      <c r="I43" s="403">
        <f>I40-I39</f>
        <v>-16118</v>
      </c>
    </row>
    <row r="45" spans="1:9" ht="30">
      <c r="A45" s="397" t="s">
        <v>101</v>
      </c>
      <c r="B45" s="398" t="s">
        <v>273</v>
      </c>
      <c r="C45" s="398" t="s">
        <v>274</v>
      </c>
      <c r="D45" s="399" t="s">
        <v>138</v>
      </c>
      <c r="E45" s="398" t="s">
        <v>293</v>
      </c>
      <c r="F45" s="398" t="s">
        <v>21</v>
      </c>
      <c r="G45" s="398" t="s">
        <v>275</v>
      </c>
      <c r="H45" s="398" t="s">
        <v>276</v>
      </c>
      <c r="I45" s="398" t="s">
        <v>102</v>
      </c>
    </row>
    <row r="46" spans="1:9" ht="15">
      <c r="A46" s="399" t="s">
        <v>277</v>
      </c>
      <c r="B46" s="400">
        <f>21793+1456</f>
        <v>23249</v>
      </c>
      <c r="C46" s="400">
        <v>12400</v>
      </c>
      <c r="D46" s="103">
        <f>B46+C46</f>
        <v>35649</v>
      </c>
      <c r="E46" s="412">
        <f>G46-F46</f>
        <v>8979.02</v>
      </c>
      <c r="F46" s="412">
        <f>B46*0.02-40</f>
        <v>424.98</v>
      </c>
      <c r="G46" s="401">
        <f>8979+425</f>
        <v>9404</v>
      </c>
      <c r="H46" s="401">
        <v>12611</v>
      </c>
      <c r="I46" s="103">
        <f>D46+G46+H46</f>
        <v>57664</v>
      </c>
    </row>
    <row r="47" spans="1:9" ht="15">
      <c r="A47" s="399" t="s">
        <v>278</v>
      </c>
      <c r="B47" s="400">
        <v>4088</v>
      </c>
      <c r="C47" s="400">
        <v>9071</v>
      </c>
      <c r="D47" s="103">
        <f>B47+C47</f>
        <v>13159</v>
      </c>
      <c r="E47" s="412">
        <f>G47-F47</f>
        <v>3897.24</v>
      </c>
      <c r="F47" s="412">
        <f>B47*0.02</f>
        <v>81.76</v>
      </c>
      <c r="G47" s="401">
        <f>3896+83</f>
        <v>3979</v>
      </c>
      <c r="H47" s="401">
        <v>2191</v>
      </c>
      <c r="I47" s="103">
        <f>D47+G47+H47</f>
        <v>19329</v>
      </c>
    </row>
    <row r="48" spans="1:9" ht="15">
      <c r="A48" s="399" t="s">
        <v>279</v>
      </c>
      <c r="B48" s="401">
        <v>11966</v>
      </c>
      <c r="C48" s="401">
        <v>31446</v>
      </c>
      <c r="D48" s="103">
        <f>B48+C48</f>
        <v>43412</v>
      </c>
      <c r="E48" s="412">
        <f>G48-F48</f>
        <v>11266.68</v>
      </c>
      <c r="F48" s="412">
        <f>B48*0.02</f>
        <v>239.32</v>
      </c>
      <c r="G48" s="401">
        <f>11242+264</f>
        <v>11506</v>
      </c>
      <c r="H48" s="401">
        <v>11657</v>
      </c>
      <c r="I48" s="103">
        <f>D48+G48+H48</f>
        <v>66575</v>
      </c>
    </row>
    <row r="49" spans="1:9" ht="15">
      <c r="A49" s="397" t="s">
        <v>280</v>
      </c>
      <c r="B49" s="402">
        <f>B46+B47+B48</f>
        <v>39303</v>
      </c>
      <c r="C49" s="402">
        <f>C46+C47+C48</f>
        <v>52917</v>
      </c>
      <c r="D49" s="402">
        <f>B49+C49</f>
        <v>92220</v>
      </c>
      <c r="E49" s="402">
        <f>E46+E47+E48</f>
        <v>24142.940000000002</v>
      </c>
      <c r="F49" s="402">
        <f>F46+F47+F48</f>
        <v>746.06</v>
      </c>
      <c r="G49" s="402">
        <f>G46+G47+G48</f>
        <v>24889</v>
      </c>
      <c r="H49" s="402">
        <f>H46+H47+H48</f>
        <v>26459</v>
      </c>
      <c r="I49" s="402">
        <f>D49+G49+H49</f>
        <v>143568</v>
      </c>
    </row>
    <row r="50" spans="1:9" ht="15">
      <c r="A50" s="399" t="s">
        <v>281</v>
      </c>
      <c r="B50" s="401"/>
      <c r="C50" s="401"/>
      <c r="D50" s="401"/>
      <c r="E50" s="401"/>
      <c r="F50" s="401"/>
      <c r="G50" s="401"/>
      <c r="H50" s="401"/>
      <c r="I50" s="397">
        <v>120070</v>
      </c>
    </row>
    <row r="51" spans="1:9" ht="15">
      <c r="A51" s="399" t="s">
        <v>282</v>
      </c>
      <c r="B51" s="401"/>
      <c r="C51" s="401"/>
      <c r="D51" s="401"/>
      <c r="E51" s="401"/>
      <c r="F51" s="401"/>
      <c r="G51" s="401"/>
      <c r="H51" s="401"/>
      <c r="I51" s="401">
        <v>57664</v>
      </c>
    </row>
    <row r="52" spans="1:9" ht="15">
      <c r="A52" s="404" t="s">
        <v>283</v>
      </c>
      <c r="B52" s="405">
        <v>12073</v>
      </c>
      <c r="C52" s="405">
        <v>30805</v>
      </c>
      <c r="D52" s="414">
        <f>B52+C52</f>
        <v>42878</v>
      </c>
      <c r="E52" s="413">
        <f>G52-F52</f>
        <v>10618.54</v>
      </c>
      <c r="F52" s="413">
        <f>B52*0.02</f>
        <v>241.46</v>
      </c>
      <c r="G52" s="413">
        <v>10860</v>
      </c>
      <c r="H52" s="405">
        <v>8668</v>
      </c>
      <c r="I52" s="414">
        <v>62406</v>
      </c>
    </row>
    <row r="53" spans="2:9" ht="15">
      <c r="B53" s="406" t="s">
        <v>297</v>
      </c>
      <c r="I53" s="403">
        <f>I50-I49</f>
        <v>-23498</v>
      </c>
    </row>
    <row r="55" spans="1:9" ht="30">
      <c r="A55" s="417" t="s">
        <v>31</v>
      </c>
      <c r="B55" s="398" t="s">
        <v>273</v>
      </c>
      <c r="C55" s="398" t="s">
        <v>274</v>
      </c>
      <c r="D55" s="399" t="s">
        <v>138</v>
      </c>
      <c r="E55" s="398" t="s">
        <v>293</v>
      </c>
      <c r="F55" s="398" t="s">
        <v>21</v>
      </c>
      <c r="G55" s="398" t="s">
        <v>275</v>
      </c>
      <c r="H55" s="398" t="s">
        <v>276</v>
      </c>
      <c r="I55" s="398" t="s">
        <v>102</v>
      </c>
    </row>
    <row r="56" spans="1:9" ht="15">
      <c r="A56" s="399" t="s">
        <v>277</v>
      </c>
      <c r="B56" s="400"/>
      <c r="C56" s="400"/>
      <c r="D56" s="103">
        <f>B56+C56</f>
        <v>0</v>
      </c>
      <c r="E56" s="412"/>
      <c r="F56" s="412">
        <f>B56*0.02</f>
        <v>0</v>
      </c>
      <c r="G56" s="401"/>
      <c r="H56" s="401">
        <v>2250</v>
      </c>
      <c r="I56" s="103">
        <f>D56+G56+H56</f>
        <v>2250</v>
      </c>
    </row>
    <row r="57" spans="1:9" ht="15">
      <c r="A57" s="399" t="s">
        <v>278</v>
      </c>
      <c r="B57" s="400"/>
      <c r="C57" s="400"/>
      <c r="D57" s="103">
        <f>B57+C57</f>
        <v>0</v>
      </c>
      <c r="E57" s="412"/>
      <c r="F57" s="412">
        <f>B57*0.02</f>
        <v>0</v>
      </c>
      <c r="G57" s="401"/>
      <c r="H57" s="401"/>
      <c r="I57" s="103">
        <f>D57+G57+H57</f>
        <v>0</v>
      </c>
    </row>
    <row r="58" spans="1:9" ht="15">
      <c r="A58" s="399" t="s">
        <v>279</v>
      </c>
      <c r="B58" s="401"/>
      <c r="C58" s="401"/>
      <c r="D58" s="103">
        <f>B58+C58</f>
        <v>0</v>
      </c>
      <c r="E58" s="412"/>
      <c r="F58" s="412">
        <f>B58*0.02</f>
        <v>0</v>
      </c>
      <c r="G58" s="401"/>
      <c r="H58" s="401">
        <v>88</v>
      </c>
      <c r="I58" s="103">
        <f>D58+G58+H58</f>
        <v>88</v>
      </c>
    </row>
    <row r="59" spans="1:9" ht="15">
      <c r="A59" s="397" t="s">
        <v>280</v>
      </c>
      <c r="B59" s="402">
        <f>B56+B57+B58</f>
        <v>0</v>
      </c>
      <c r="C59" s="402">
        <f>C56+C57+C58</f>
        <v>0</v>
      </c>
      <c r="D59" s="402">
        <f>B59+C59</f>
        <v>0</v>
      </c>
      <c r="E59" s="402">
        <f>E56+E57+E58</f>
        <v>0</v>
      </c>
      <c r="F59" s="402">
        <f>F56+F57+F58</f>
        <v>0</v>
      </c>
      <c r="G59" s="402">
        <f>G56+G57+G58</f>
        <v>0</v>
      </c>
      <c r="H59" s="402">
        <f>H56+H57+H58</f>
        <v>2338</v>
      </c>
      <c r="I59" s="402">
        <f>D59+G59+H59</f>
        <v>2338</v>
      </c>
    </row>
    <row r="60" spans="1:9" ht="15">
      <c r="A60" s="399" t="s">
        <v>281</v>
      </c>
      <c r="B60" s="401"/>
      <c r="C60" s="401"/>
      <c r="D60" s="401"/>
      <c r="E60" s="401"/>
      <c r="F60" s="401"/>
      <c r="G60" s="401"/>
      <c r="H60" s="401">
        <f>2250+85</f>
        <v>2335</v>
      </c>
      <c r="I60" s="397">
        <f>H60</f>
        <v>2335</v>
      </c>
    </row>
    <row r="61" spans="1:9" ht="15">
      <c r="A61" s="399" t="s">
        <v>282</v>
      </c>
      <c r="B61" s="401"/>
      <c r="C61" s="401"/>
      <c r="D61" s="401"/>
      <c r="E61" s="401"/>
      <c r="F61" s="401"/>
      <c r="G61" s="401"/>
      <c r="H61" s="401"/>
      <c r="I61" s="103">
        <f>I56</f>
        <v>2250</v>
      </c>
    </row>
    <row r="62" spans="1:9" ht="15">
      <c r="A62" s="404" t="s">
        <v>283</v>
      </c>
      <c r="B62" s="405"/>
      <c r="C62" s="405"/>
      <c r="D62" s="414">
        <f>B62+C62</f>
        <v>0</v>
      </c>
      <c r="E62" s="413"/>
      <c r="F62" s="413">
        <f>B62*0.02</f>
        <v>0</v>
      </c>
      <c r="G62" s="413"/>
      <c r="H62" s="418">
        <v>85</v>
      </c>
      <c r="I62" s="414">
        <f>H62</f>
        <v>85</v>
      </c>
    </row>
    <row r="63" spans="2:9" ht="15">
      <c r="B63" s="406" t="s">
        <v>297</v>
      </c>
      <c r="I63" s="403">
        <f>I60-I59</f>
        <v>-3</v>
      </c>
    </row>
    <row r="65" spans="1:9" ht="30">
      <c r="A65" s="417" t="s">
        <v>102</v>
      </c>
      <c r="B65" s="398" t="s">
        <v>273</v>
      </c>
      <c r="C65" s="398" t="s">
        <v>274</v>
      </c>
      <c r="D65" s="399" t="s">
        <v>138</v>
      </c>
      <c r="E65" s="398" t="s">
        <v>293</v>
      </c>
      <c r="F65" s="398" t="s">
        <v>21</v>
      </c>
      <c r="G65" s="398" t="s">
        <v>275</v>
      </c>
      <c r="H65" s="398" t="s">
        <v>276</v>
      </c>
      <c r="I65" s="398" t="s">
        <v>102</v>
      </c>
    </row>
    <row r="66" spans="1:9" ht="15">
      <c r="A66" s="399" t="s">
        <v>277</v>
      </c>
      <c r="B66" s="400">
        <f>B6+B16+B26+B36+B46+B56</f>
        <v>67180</v>
      </c>
      <c r="C66" s="400">
        <f>C6+C16+C26+C36+C46+C56</f>
        <v>23897</v>
      </c>
      <c r="D66" s="103">
        <f>B66+C66</f>
        <v>91077</v>
      </c>
      <c r="E66" s="400">
        <f aca="true" t="shared" si="0" ref="E66:F68">E6+E16+E26+E36+E46+E56</f>
        <v>24896.059999999998</v>
      </c>
      <c r="F66" s="400">
        <f t="shared" si="0"/>
        <v>1303.94</v>
      </c>
      <c r="G66" s="103">
        <f>E66+F66</f>
        <v>26199.999999999996</v>
      </c>
      <c r="H66" s="400">
        <f>H6+H16+H26+H36+H46+H56</f>
        <v>36227</v>
      </c>
      <c r="I66" s="103">
        <f>D66+G66+H66</f>
        <v>153504</v>
      </c>
    </row>
    <row r="67" spans="1:9" ht="15">
      <c r="A67" s="399" t="s">
        <v>278</v>
      </c>
      <c r="B67" s="400">
        <f>B7+B17+B27+B37+B47+B57</f>
        <v>40944</v>
      </c>
      <c r="C67" s="400">
        <f>C7+C17+C27+C37+C47+C57</f>
        <v>100840</v>
      </c>
      <c r="D67" s="103">
        <f>B67+C67</f>
        <v>141784</v>
      </c>
      <c r="E67" s="400">
        <f t="shared" si="0"/>
        <v>35604.12</v>
      </c>
      <c r="F67" s="400">
        <f t="shared" si="0"/>
        <v>818.8800000000001</v>
      </c>
      <c r="G67" s="103">
        <f>E67+F67</f>
        <v>36423</v>
      </c>
      <c r="H67" s="400">
        <f>H7+H17+H27+H37+H47+H57</f>
        <v>24831</v>
      </c>
      <c r="I67" s="103">
        <f>D67+G67+H67</f>
        <v>203038</v>
      </c>
    </row>
    <row r="68" spans="1:9" ht="15">
      <c r="A68" s="399" t="s">
        <v>279</v>
      </c>
      <c r="B68" s="400">
        <f aca="true" t="shared" si="1" ref="B68:C70">B8+B18+B28+B38+B48+B58</f>
        <v>75061</v>
      </c>
      <c r="C68" s="400">
        <f t="shared" si="1"/>
        <v>162665</v>
      </c>
      <c r="D68" s="103">
        <f>B68+C68</f>
        <v>237726</v>
      </c>
      <c r="E68" s="400">
        <f t="shared" si="0"/>
        <v>60509.78</v>
      </c>
      <c r="F68" s="400">
        <f t="shared" si="0"/>
        <v>1501.22</v>
      </c>
      <c r="G68" s="103">
        <f>E68+F68</f>
        <v>62011</v>
      </c>
      <c r="H68" s="400">
        <f>H8+H18+H28+H38+H48+H58</f>
        <v>51117</v>
      </c>
      <c r="I68" s="103">
        <f>D68+G68+H68-1</f>
        <v>350853</v>
      </c>
    </row>
    <row r="69" spans="1:9" ht="15">
      <c r="A69" s="397" t="s">
        <v>280</v>
      </c>
      <c r="B69" s="402">
        <f>B66+B67+B68</f>
        <v>183185</v>
      </c>
      <c r="C69" s="402">
        <f>C66+C67+C68</f>
        <v>287402</v>
      </c>
      <c r="D69" s="402">
        <f>B69+C69</f>
        <v>470587</v>
      </c>
      <c r="E69" s="402">
        <f>E66+E67+E68</f>
        <v>121009.95999999999</v>
      </c>
      <c r="F69" s="402">
        <f>F66+F67+F68</f>
        <v>3624.04</v>
      </c>
      <c r="G69" s="402">
        <f>G66+G67+G68</f>
        <v>124634</v>
      </c>
      <c r="H69" s="402">
        <f>H66+H67+H68</f>
        <v>112175</v>
      </c>
      <c r="I69" s="402">
        <f>D69+G69+H69-1</f>
        <v>707395</v>
      </c>
    </row>
    <row r="70" spans="1:9" ht="15">
      <c r="A70" s="399" t="s">
        <v>281</v>
      </c>
      <c r="B70" s="400">
        <f t="shared" si="1"/>
        <v>0</v>
      </c>
      <c r="C70" s="401"/>
      <c r="D70" s="401"/>
      <c r="E70" s="401"/>
      <c r="F70" s="401"/>
      <c r="G70" s="401"/>
      <c r="H70" s="401"/>
      <c r="I70" s="397">
        <f>I10+I20+I30+I40+I50+I60</f>
        <v>477632</v>
      </c>
    </row>
    <row r="71" spans="1:9" ht="15">
      <c r="A71" s="399" t="s">
        <v>282</v>
      </c>
      <c r="B71" s="401"/>
      <c r="C71" s="401"/>
      <c r="D71" s="401"/>
      <c r="E71" s="401"/>
      <c r="F71" s="401"/>
      <c r="G71" s="401"/>
      <c r="H71" s="401"/>
      <c r="I71" s="397">
        <f>I11+I21+I31+I41+I51+I61</f>
        <v>153504</v>
      </c>
    </row>
    <row r="72" spans="1:9" ht="15">
      <c r="A72" s="404" t="s">
        <v>283</v>
      </c>
      <c r="B72" s="405">
        <f>B12+B22+B32+B42+B52+B62</f>
        <v>69522</v>
      </c>
      <c r="C72" s="405">
        <f>C12+C22+C32+C42+C52+C62</f>
        <v>158601</v>
      </c>
      <c r="D72" s="414">
        <f>B72+C72</f>
        <v>228123</v>
      </c>
      <c r="E72" s="413">
        <f>E12+E22+E32+E42+E52+E62</f>
        <v>56991.96</v>
      </c>
      <c r="F72" s="413">
        <f>F12+F22+F32+F42+F52+F62</f>
        <v>1389.04</v>
      </c>
      <c r="G72" s="419">
        <f>E72+F72</f>
        <v>58381</v>
      </c>
      <c r="H72" s="413">
        <f>H12+H22+H32+H42+H52+H62</f>
        <v>37624</v>
      </c>
      <c r="I72" s="414">
        <f>D72+G72+H72</f>
        <v>324128</v>
      </c>
    </row>
    <row r="73" spans="1:9" s="425" customFormat="1" ht="15">
      <c r="A73" s="420"/>
      <c r="B73" s="421"/>
      <c r="C73" s="421"/>
      <c r="D73" s="422"/>
      <c r="E73" s="423"/>
      <c r="F73" s="423"/>
      <c r="G73" s="424"/>
      <c r="H73" s="423"/>
      <c r="I73" s="422"/>
    </row>
    <row r="74" spans="2:9" ht="15">
      <c r="B74" s="100" t="s">
        <v>297</v>
      </c>
      <c r="C74" s="100"/>
      <c r="D74" s="100"/>
      <c r="I74" s="403">
        <f>I70-I69</f>
        <v>-229763</v>
      </c>
    </row>
    <row r="76" ht="12.75">
      <c r="A76" s="100" t="s">
        <v>299</v>
      </c>
    </row>
    <row r="78" spans="1:9" ht="12.75">
      <c r="A78" s="406" t="s">
        <v>300</v>
      </c>
      <c r="I78" s="408">
        <f>I71</f>
        <v>153504</v>
      </c>
    </row>
    <row r="79" spans="1:9" ht="12.75">
      <c r="A79" s="406" t="s">
        <v>278</v>
      </c>
      <c r="I79" s="409">
        <f>I67</f>
        <v>203038</v>
      </c>
    </row>
    <row r="80" spans="1:10" ht="12.75">
      <c r="A80" s="406" t="s">
        <v>279</v>
      </c>
      <c r="I80" s="409">
        <f>I68</f>
        <v>350853</v>
      </c>
      <c r="J80" s="407"/>
    </row>
    <row r="81" spans="1:9" ht="12.75">
      <c r="A81" s="406"/>
      <c r="I81" s="408">
        <f>I78+I79+I80</f>
        <v>707395</v>
      </c>
    </row>
    <row r="82" spans="1:9" ht="12.75">
      <c r="A82" s="406"/>
      <c r="I82" s="408"/>
    </row>
    <row r="83" spans="1:9" ht="12.75">
      <c r="A83" s="406" t="s">
        <v>301</v>
      </c>
      <c r="I83" s="408">
        <f>I70</f>
        <v>477632</v>
      </c>
    </row>
    <row r="84" spans="1:9" ht="12.75">
      <c r="A84" s="406" t="s">
        <v>302</v>
      </c>
      <c r="I84" s="408">
        <f>I66</f>
        <v>153504</v>
      </c>
    </row>
    <row r="85" spans="1:9" ht="12.75">
      <c r="A85" s="406" t="s">
        <v>303</v>
      </c>
      <c r="H85" s="406"/>
      <c r="I85" s="408">
        <f>I83-I84</f>
        <v>324128</v>
      </c>
    </row>
    <row r="86" spans="8:11" ht="12.75">
      <c r="H86" s="406"/>
      <c r="I86" s="100"/>
      <c r="K86" s="407"/>
    </row>
    <row r="87" ht="12.75">
      <c r="N87" s="406" t="s">
        <v>286</v>
      </c>
    </row>
  </sheetData>
  <sheetProtection/>
  <mergeCells count="1">
    <mergeCell ref="A3:I3"/>
  </mergeCells>
  <printOptions horizontalCentered="1" verticalCentered="1"/>
  <pageMargins left="0.2362204724409449" right="0.2755905511811024" top="0.2755905511811024" bottom="0.2755905511811024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1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4" sqref="E24"/>
    </sheetView>
  </sheetViews>
  <sheetFormatPr defaultColWidth="9.140625" defaultRowHeight="12.75"/>
  <cols>
    <col min="1" max="1" width="7.8515625" style="0" customWidth="1"/>
    <col min="2" max="2" width="22.57421875" style="0" customWidth="1"/>
    <col min="3" max="5" width="11.28125" style="0" bestFit="1" customWidth="1"/>
    <col min="6" max="6" width="10.28125" style="0" bestFit="1" customWidth="1"/>
    <col min="7" max="7" width="9.28125" style="0" bestFit="1" customWidth="1"/>
    <col min="8" max="8" width="11.28125" style="0" bestFit="1" customWidth="1"/>
    <col min="9" max="9" width="4.57421875" style="165" customWidth="1"/>
    <col min="10" max="12" width="11.28125" style="0" bestFit="1" customWidth="1"/>
    <col min="13" max="13" width="3.8515625" style="165" bestFit="1" customWidth="1"/>
    <col min="14" max="14" width="11.7109375" style="0" customWidth="1"/>
    <col min="15" max="15" width="6.7109375" style="0" bestFit="1" customWidth="1"/>
    <col min="16" max="16" width="3.8515625" style="0" customWidth="1"/>
  </cols>
  <sheetData>
    <row r="1" spans="1:14" ht="15.75">
      <c r="A1" s="164" t="s">
        <v>211</v>
      </c>
      <c r="I1"/>
      <c r="N1" s="164" t="s">
        <v>135</v>
      </c>
    </row>
    <row r="2" spans="1:14" ht="16.5" thickBot="1">
      <c r="A2" s="164"/>
      <c r="N2" t="s">
        <v>1</v>
      </c>
    </row>
    <row r="3" spans="1:15" ht="81.75" customHeight="1">
      <c r="A3" s="306"/>
      <c r="B3" s="307"/>
      <c r="C3" s="166" t="s">
        <v>136</v>
      </c>
      <c r="D3" s="167" t="s">
        <v>137</v>
      </c>
      <c r="E3" s="168" t="s">
        <v>138</v>
      </c>
      <c r="F3" s="169" t="s">
        <v>139</v>
      </c>
      <c r="G3" s="166" t="s">
        <v>140</v>
      </c>
      <c r="H3" s="167" t="s">
        <v>141</v>
      </c>
      <c r="I3" s="232" t="s">
        <v>176</v>
      </c>
      <c r="J3" s="168" t="s">
        <v>142</v>
      </c>
      <c r="K3" s="168" t="s">
        <v>143</v>
      </c>
      <c r="L3" s="170" t="s">
        <v>144</v>
      </c>
      <c r="M3" s="364" t="s">
        <v>145</v>
      </c>
      <c r="N3" s="170" t="s">
        <v>146</v>
      </c>
      <c r="O3" s="168" t="s">
        <v>147</v>
      </c>
    </row>
    <row r="4" spans="1:15" ht="39" thickBot="1">
      <c r="A4" s="171" t="s">
        <v>148</v>
      </c>
      <c r="B4" s="172" t="s">
        <v>149</v>
      </c>
      <c r="C4" s="173" t="s">
        <v>287</v>
      </c>
      <c r="D4" s="174" t="s">
        <v>288</v>
      </c>
      <c r="E4" s="175"/>
      <c r="F4" s="176" t="s">
        <v>271</v>
      </c>
      <c r="G4" s="177" t="s">
        <v>272</v>
      </c>
      <c r="H4" s="177" t="s">
        <v>289</v>
      </c>
      <c r="I4" s="178"/>
      <c r="J4" s="175"/>
      <c r="K4" s="175"/>
      <c r="L4" s="175"/>
      <c r="M4" s="179"/>
      <c r="N4" s="175"/>
      <c r="O4" s="180">
        <v>5336</v>
      </c>
    </row>
    <row r="5" spans="1:16" s="100" customFormat="1" ht="14.25" customHeight="1" thickBot="1">
      <c r="A5" s="323"/>
      <c r="B5" s="335" t="s">
        <v>188</v>
      </c>
      <c r="C5" s="325">
        <f>2454+3701.928</f>
        <v>6155.928</v>
      </c>
      <c r="D5" s="325">
        <f>34597+55459.963</f>
        <v>90056.963</v>
      </c>
      <c r="E5" s="326">
        <f aca="true" t="shared" si="0" ref="E5:E10">SUM(C5:D5)</f>
        <v>96212.891</v>
      </c>
      <c r="F5" s="325">
        <f>12455+19583.361</f>
        <v>32038.361</v>
      </c>
      <c r="G5" s="325">
        <f>50+249.289</f>
        <v>299.289</v>
      </c>
      <c r="H5" s="325">
        <f>3503.25+10412.491</f>
        <v>13915.741</v>
      </c>
      <c r="I5" s="326"/>
      <c r="J5" s="325">
        <f aca="true" t="shared" si="1" ref="J5:J10">SUM(H5:I5)</f>
        <v>13915.741</v>
      </c>
      <c r="K5" s="325">
        <f aca="true" t="shared" si="2" ref="K5:K10">SUM(F5,G5,J5)</f>
        <v>46253.391</v>
      </c>
      <c r="L5" s="325">
        <f aca="true" t="shared" si="3" ref="L5:L10">SUM(E5,K5)</f>
        <v>142466.282</v>
      </c>
      <c r="M5" s="325"/>
      <c r="N5" s="326">
        <f aca="true" t="shared" si="4" ref="N5:N10">SUM(L5,M5)</f>
        <v>142466.282</v>
      </c>
      <c r="O5" s="327">
        <f>2+1+1+8+2</f>
        <v>14</v>
      </c>
      <c r="P5"/>
    </row>
    <row r="6" spans="1:15" ht="14.25" customHeight="1" thickBot="1">
      <c r="A6" s="323"/>
      <c r="B6" s="335" t="s">
        <v>202</v>
      </c>
      <c r="C6" s="328"/>
      <c r="D6" s="329"/>
      <c r="E6" s="326">
        <f t="shared" si="0"/>
        <v>0</v>
      </c>
      <c r="F6" s="329"/>
      <c r="G6" s="329"/>
      <c r="H6" s="329"/>
      <c r="I6" s="330"/>
      <c r="J6" s="325">
        <f t="shared" si="1"/>
        <v>0</v>
      </c>
      <c r="K6" s="325">
        <f t="shared" si="2"/>
        <v>0</v>
      </c>
      <c r="L6" s="325">
        <f t="shared" si="3"/>
        <v>0</v>
      </c>
      <c r="M6" s="325"/>
      <c r="N6" s="326">
        <f t="shared" si="4"/>
        <v>0</v>
      </c>
      <c r="O6" s="331"/>
    </row>
    <row r="7" spans="1:16" s="100" customFormat="1" ht="14.25" customHeight="1" thickBot="1">
      <c r="A7" s="323"/>
      <c r="B7" s="335" t="s">
        <v>189</v>
      </c>
      <c r="C7" s="325">
        <f>28822+49472.607</f>
        <v>78294.607</v>
      </c>
      <c r="D7" s="325">
        <f>54012+67703.66</f>
        <v>121715.66</v>
      </c>
      <c r="E7" s="326">
        <f t="shared" si="0"/>
        <v>200010.267</v>
      </c>
      <c r="F7" s="325">
        <f>16819+23886.797</f>
        <v>40705.797</v>
      </c>
      <c r="G7" s="325">
        <f>578.5+1014.661</f>
        <v>1593.161</v>
      </c>
      <c r="H7" s="325">
        <f>15586.56+24900.573</f>
        <v>40487.133</v>
      </c>
      <c r="I7" s="326"/>
      <c r="J7" s="325">
        <f t="shared" si="1"/>
        <v>40487.133</v>
      </c>
      <c r="K7" s="325">
        <f t="shared" si="2"/>
        <v>82786.091</v>
      </c>
      <c r="L7" s="325">
        <f t="shared" si="3"/>
        <v>282796.358</v>
      </c>
      <c r="M7" s="325"/>
      <c r="N7" s="326">
        <f t="shared" si="4"/>
        <v>282796.358</v>
      </c>
      <c r="O7" s="327">
        <v>126.43</v>
      </c>
      <c r="P7"/>
    </row>
    <row r="8" spans="1:16" s="161" customFormat="1" ht="14.25" customHeight="1" thickBot="1">
      <c r="A8" s="323"/>
      <c r="B8" s="335" t="s">
        <v>190</v>
      </c>
      <c r="C8" s="328">
        <f>5580+9920</f>
        <v>15500</v>
      </c>
      <c r="D8" s="332">
        <f>3160+8055</f>
        <v>11215</v>
      </c>
      <c r="E8" s="326">
        <f t="shared" si="0"/>
        <v>26715</v>
      </c>
      <c r="F8" s="333">
        <f>2428.5+5559.429</f>
        <v>7987.929</v>
      </c>
      <c r="G8" s="329">
        <f>112+212.1</f>
        <v>324.1</v>
      </c>
      <c r="H8" s="329">
        <f>3550+4058.862</f>
        <v>7608.862</v>
      </c>
      <c r="I8" s="334"/>
      <c r="J8" s="325">
        <f t="shared" si="1"/>
        <v>7608.862</v>
      </c>
      <c r="K8" s="325">
        <f t="shared" si="2"/>
        <v>15920.891</v>
      </c>
      <c r="L8" s="325">
        <f t="shared" si="3"/>
        <v>42635.891</v>
      </c>
      <c r="M8" s="325"/>
      <c r="N8" s="326">
        <f t="shared" si="4"/>
        <v>42635.891</v>
      </c>
      <c r="O8" s="327">
        <v>27.1</v>
      </c>
      <c r="P8"/>
    </row>
    <row r="9" spans="1:15" ht="14.25" customHeight="1" thickBot="1">
      <c r="A9" s="323"/>
      <c r="B9" s="335" t="s">
        <v>191</v>
      </c>
      <c r="C9" s="328">
        <f>4088.307+11966.376</f>
        <v>16054.683</v>
      </c>
      <c r="D9" s="332">
        <f>9070.507+156.8+31289.348</f>
        <v>40516.655</v>
      </c>
      <c r="E9" s="326">
        <f t="shared" si="0"/>
        <v>56571.338</v>
      </c>
      <c r="F9" s="333">
        <f>3896.327+11241.995</f>
        <v>15138.322</v>
      </c>
      <c r="G9" s="329">
        <f>82.587+263.911</f>
        <v>346.498</v>
      </c>
      <c r="H9" s="329">
        <f>2191.25+161.84+11495.311</f>
        <v>13848.401</v>
      </c>
      <c r="I9" s="330"/>
      <c r="J9" s="325">
        <f t="shared" si="1"/>
        <v>13848.401</v>
      </c>
      <c r="K9" s="325">
        <f t="shared" si="2"/>
        <v>29333.220999999998</v>
      </c>
      <c r="L9" s="325">
        <f t="shared" si="3"/>
        <v>85904.55900000001</v>
      </c>
      <c r="M9" s="325"/>
      <c r="N9" s="326">
        <f t="shared" si="4"/>
        <v>85904.55900000001</v>
      </c>
      <c r="O9" s="327">
        <f>18+4.5+2+10.45+6.65</f>
        <v>41.6</v>
      </c>
    </row>
    <row r="10" spans="1:16" s="100" customFormat="1" ht="14.25" customHeight="1" thickBot="1">
      <c r="A10" s="323"/>
      <c r="B10" s="335" t="s">
        <v>192</v>
      </c>
      <c r="C10" s="328"/>
      <c r="D10" s="332"/>
      <c r="E10" s="326">
        <f t="shared" si="0"/>
        <v>0</v>
      </c>
      <c r="F10" s="333"/>
      <c r="G10" s="329"/>
      <c r="H10" s="329">
        <v>87.676</v>
      </c>
      <c r="I10" s="330"/>
      <c r="J10" s="325">
        <f t="shared" si="1"/>
        <v>87.676</v>
      </c>
      <c r="K10" s="325">
        <f t="shared" si="2"/>
        <v>87.676</v>
      </c>
      <c r="L10" s="325">
        <f t="shared" si="3"/>
        <v>87.676</v>
      </c>
      <c r="M10" s="325"/>
      <c r="N10" s="326">
        <f t="shared" si="4"/>
        <v>87.676</v>
      </c>
      <c r="O10" s="327"/>
      <c r="P10"/>
    </row>
    <row r="11" spans="1:15" ht="17.25" customHeight="1" thickBot="1">
      <c r="A11" s="216"/>
      <c r="B11" s="324" t="s">
        <v>173</v>
      </c>
      <c r="C11" s="329">
        <f>C5+C6+C7+C8+C9+C10</f>
        <v>116005.21800000001</v>
      </c>
      <c r="D11" s="329">
        <f aca="true" t="shared" si="5" ref="D11:O11">D5+D6+D7+D8+D9+D10</f>
        <v>263504.27800000005</v>
      </c>
      <c r="E11" s="329">
        <f t="shared" si="5"/>
        <v>379509.496</v>
      </c>
      <c r="F11" s="329">
        <f t="shared" si="5"/>
        <v>95870.409</v>
      </c>
      <c r="G11" s="329">
        <f t="shared" si="5"/>
        <v>2563.0480000000002</v>
      </c>
      <c r="H11" s="329">
        <f t="shared" si="5"/>
        <v>75947.81300000001</v>
      </c>
      <c r="I11" s="334">
        <f t="shared" si="5"/>
        <v>0</v>
      </c>
      <c r="J11" s="329">
        <f t="shared" si="5"/>
        <v>75947.81300000001</v>
      </c>
      <c r="K11" s="329">
        <f t="shared" si="5"/>
        <v>174381.27</v>
      </c>
      <c r="L11" s="329">
        <f t="shared" si="5"/>
        <v>553890.7660000001</v>
      </c>
      <c r="M11" s="334">
        <f t="shared" si="5"/>
        <v>0</v>
      </c>
      <c r="N11" s="334">
        <f>N5+N6+N7+N8+N9+N10</f>
        <v>553890.7660000001</v>
      </c>
      <c r="O11" s="331">
        <f t="shared" si="5"/>
        <v>209.13</v>
      </c>
    </row>
  </sheetData>
  <sheetProtection/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18"/>
  <sheetViews>
    <sheetView zoomScale="72" zoomScaleNormal="72"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14" sqref="F14"/>
    </sheetView>
  </sheetViews>
  <sheetFormatPr defaultColWidth="9.140625" defaultRowHeight="12.75"/>
  <cols>
    <col min="1" max="1" width="18.140625" style="131" customWidth="1"/>
    <col min="2" max="2" width="12.7109375" style="131" customWidth="1"/>
    <col min="3" max="3" width="15.421875" style="131" customWidth="1"/>
    <col min="4" max="4" width="16.140625" style="131" customWidth="1"/>
    <col min="5" max="5" width="10.8515625" style="131" customWidth="1"/>
    <col min="6" max="16384" width="9.140625" style="131" customWidth="1"/>
  </cols>
  <sheetData>
    <row r="2" spans="1:5" ht="15.75">
      <c r="A2" s="132"/>
      <c r="D2" s="162" t="s">
        <v>133</v>
      </c>
      <c r="E2" s="37"/>
    </row>
    <row r="4" ht="15.75">
      <c r="A4" s="134" t="s">
        <v>209</v>
      </c>
    </row>
    <row r="5" ht="15.75">
      <c r="A5" s="134"/>
    </row>
    <row r="6" spans="1:5" ht="16.5" thickBot="1">
      <c r="A6" s="134"/>
      <c r="E6" s="135" t="s">
        <v>1</v>
      </c>
    </row>
    <row r="7" spans="1:5" ht="75.75" customHeight="1" thickBot="1">
      <c r="A7" s="287"/>
      <c r="B7" s="288" t="s">
        <v>304</v>
      </c>
      <c r="C7" s="289" t="s">
        <v>134</v>
      </c>
      <c r="D7" s="376" t="s">
        <v>261</v>
      </c>
      <c r="E7" s="290" t="s">
        <v>123</v>
      </c>
    </row>
    <row r="8" spans="1:5" ht="15.75" thickBot="1">
      <c r="A8" s="291"/>
      <c r="B8" s="292" t="s">
        <v>128</v>
      </c>
      <c r="C8" s="293" t="s">
        <v>129</v>
      </c>
      <c r="D8" s="293" t="s">
        <v>130</v>
      </c>
      <c r="E8" s="294" t="s">
        <v>131</v>
      </c>
    </row>
    <row r="9" spans="1:5" ht="15">
      <c r="A9" s="295" t="s">
        <v>4</v>
      </c>
      <c r="B9" s="336">
        <f>93962+vynosy!B8+vynosy!E8</f>
        <v>96332</v>
      </c>
      <c r="C9" s="308">
        <f>'HV-HC orig'!D45+'HV-JC orig'!D45</f>
        <v>110650</v>
      </c>
      <c r="D9" s="308">
        <f aca="true" t="shared" si="0" ref="D9:D14">B9-C9</f>
        <v>-14318</v>
      </c>
      <c r="E9" s="309">
        <f aca="true" t="shared" si="1" ref="E9:E15">(C9/B9)*100</f>
        <v>114.86318149732175</v>
      </c>
    </row>
    <row r="10" spans="1:5" ht="15">
      <c r="A10" s="296" t="s">
        <v>5</v>
      </c>
      <c r="B10" s="337">
        <f>5145+vynosy!B9+vynosy!E9</f>
        <v>6760</v>
      </c>
      <c r="C10" s="310">
        <f>'HV-HC orig'!E45+'HV-JC orig'!E45</f>
        <v>11799</v>
      </c>
      <c r="D10" s="310">
        <f t="shared" si="0"/>
        <v>-5039</v>
      </c>
      <c r="E10" s="309">
        <f t="shared" si="1"/>
        <v>174.54142011834318</v>
      </c>
    </row>
    <row r="11" spans="1:5" ht="15">
      <c r="A11" s="296" t="s">
        <v>6</v>
      </c>
      <c r="B11" s="337">
        <f>195744+vynosy!B10+vynosy!E10</f>
        <v>198894</v>
      </c>
      <c r="C11" s="310">
        <f>'HV-HC orig'!F45+'HV-JC orig'!F45</f>
        <v>219020</v>
      </c>
      <c r="D11" s="310">
        <f t="shared" si="0"/>
        <v>-20126</v>
      </c>
      <c r="E11" s="309">
        <f t="shared" si="1"/>
        <v>110.11895783683772</v>
      </c>
    </row>
    <row r="12" spans="1:5" ht="15">
      <c r="A12" s="296" t="s">
        <v>7</v>
      </c>
      <c r="B12" s="337">
        <f>60376+vynosy!B11+vynosy!E11</f>
        <v>60405</v>
      </c>
      <c r="C12" s="310">
        <f>'HV-HC orig'!G45+'HV-JC orig'!G45</f>
        <v>63153</v>
      </c>
      <c r="D12" s="310">
        <f t="shared" si="0"/>
        <v>-2748</v>
      </c>
      <c r="E12" s="309">
        <f t="shared" si="1"/>
        <v>104.54929227712937</v>
      </c>
    </row>
    <row r="13" spans="1:5" ht="15">
      <c r="A13" s="297" t="s">
        <v>8</v>
      </c>
      <c r="B13" s="337">
        <f>120070+vynosy!B12+vynosy!E12</f>
        <v>136245</v>
      </c>
      <c r="C13" s="310">
        <f>'HV-HC orig'!H45+'HV-JC orig'!H45</f>
        <v>137063</v>
      </c>
      <c r="D13" s="310">
        <f t="shared" si="0"/>
        <v>-818</v>
      </c>
      <c r="E13" s="309">
        <f t="shared" si="1"/>
        <v>100.6003890051011</v>
      </c>
    </row>
    <row r="14" spans="1:5" ht="15.75" thickBot="1">
      <c r="A14" s="297" t="s">
        <v>9</v>
      </c>
      <c r="B14" s="338">
        <f>2335+vynosy!B13+vynosy!E13</f>
        <v>9185</v>
      </c>
      <c r="C14" s="311">
        <f>'HV-HC orig'!I45+'HV-JC orig'!I45</f>
        <v>9150</v>
      </c>
      <c r="D14" s="311">
        <f t="shared" si="0"/>
        <v>35</v>
      </c>
      <c r="E14" s="309">
        <f t="shared" si="1"/>
        <v>99.61894393032118</v>
      </c>
    </row>
    <row r="15" spans="1:5" ht="16.5" thickBot="1">
      <c r="A15" s="163" t="s">
        <v>16</v>
      </c>
      <c r="B15" s="228">
        <f>SUM(B9:B14)</f>
        <v>507821</v>
      </c>
      <c r="C15" s="229">
        <f>SUM(C9:C14)</f>
        <v>550835</v>
      </c>
      <c r="D15" s="229">
        <f>SUM(D9:D14)</f>
        <v>-43014</v>
      </c>
      <c r="E15" s="160">
        <f t="shared" si="1"/>
        <v>108.47030745085375</v>
      </c>
    </row>
    <row r="18" ht="12.75">
      <c r="A18" s="131" t="s">
        <v>305</v>
      </c>
    </row>
  </sheetData>
  <sheetProtection/>
  <printOptions horizontalCentered="1"/>
  <pageMargins left="0.98425196850393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32"/>
  <sheetViews>
    <sheetView zoomScale="75" zoomScaleNormal="75"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1" sqref="K11"/>
    </sheetView>
  </sheetViews>
  <sheetFormatPr defaultColWidth="9.140625" defaultRowHeight="12.75"/>
  <cols>
    <col min="1" max="1" width="19.8515625" style="131" customWidth="1"/>
    <col min="2" max="2" width="11.140625" style="131" customWidth="1"/>
    <col min="3" max="3" width="13.28125" style="131" customWidth="1"/>
    <col min="4" max="4" width="10.57421875" style="131" customWidth="1"/>
    <col min="5" max="5" width="8.7109375" style="131" customWidth="1"/>
    <col min="6" max="6" width="9.7109375" style="131" customWidth="1"/>
    <col min="7" max="8" width="11.28125" style="131" customWidth="1"/>
    <col min="9" max="9" width="8.57421875" style="131" customWidth="1"/>
    <col min="10" max="10" width="10.57421875" style="131" customWidth="1"/>
    <col min="11" max="12" width="11.140625" style="131" customWidth="1"/>
    <col min="13" max="13" width="8.7109375" style="131" customWidth="1"/>
    <col min="14" max="14" width="10.57421875" style="131" bestFit="1" customWidth="1"/>
    <col min="15" max="15" width="11.00390625" style="131" customWidth="1"/>
    <col min="16" max="16" width="11.28125" style="131" customWidth="1"/>
    <col min="17" max="17" width="8.7109375" style="131" customWidth="1"/>
    <col min="18" max="16384" width="9.140625" style="131" customWidth="1"/>
  </cols>
  <sheetData>
    <row r="1" ht="12.75">
      <c r="H1" s="37"/>
    </row>
    <row r="2" spans="1:17" ht="15.75">
      <c r="A2" s="132"/>
      <c r="Q2" s="133" t="s">
        <v>195</v>
      </c>
    </row>
    <row r="4" ht="15.75">
      <c r="A4" s="134" t="s">
        <v>212</v>
      </c>
    </row>
    <row r="5" ht="15.75">
      <c r="A5" s="134"/>
    </row>
    <row r="6" spans="1:17" ht="16.5" thickBot="1">
      <c r="A6" s="134"/>
      <c r="E6" s="135"/>
      <c r="H6" s="135"/>
      <c r="Q6" s="136" t="s">
        <v>1</v>
      </c>
    </row>
    <row r="7" spans="1:17" ht="64.5" thickBot="1">
      <c r="A7" s="137"/>
      <c r="B7" s="138" t="s">
        <v>120</v>
      </c>
      <c r="C7" s="276" t="s">
        <v>121</v>
      </c>
      <c r="D7" s="455" t="s">
        <v>122</v>
      </c>
      <c r="E7" s="140" t="s">
        <v>123</v>
      </c>
      <c r="F7" s="138" t="s">
        <v>124</v>
      </c>
      <c r="G7" s="276" t="s">
        <v>121</v>
      </c>
      <c r="H7" s="139" t="s">
        <v>125</v>
      </c>
      <c r="I7" s="140" t="s">
        <v>123</v>
      </c>
      <c r="J7" s="138" t="s">
        <v>126</v>
      </c>
      <c r="K7" s="276" t="s">
        <v>121</v>
      </c>
      <c r="L7" s="139" t="s">
        <v>125</v>
      </c>
      <c r="M7" s="140" t="s">
        <v>123</v>
      </c>
      <c r="N7" s="138" t="s">
        <v>127</v>
      </c>
      <c r="O7" s="441" t="s">
        <v>121</v>
      </c>
      <c r="P7" s="139" t="s">
        <v>125</v>
      </c>
      <c r="Q7" s="140" t="s">
        <v>123</v>
      </c>
    </row>
    <row r="8" spans="1:17" ht="13.5" thickBot="1">
      <c r="A8" s="141"/>
      <c r="B8" s="142" t="s">
        <v>128</v>
      </c>
      <c r="C8" s="277" t="s">
        <v>129</v>
      </c>
      <c r="D8" s="143" t="s">
        <v>130</v>
      </c>
      <c r="E8" s="144" t="s">
        <v>131</v>
      </c>
      <c r="F8" s="142" t="s">
        <v>128</v>
      </c>
      <c r="G8" s="277" t="s">
        <v>129</v>
      </c>
      <c r="H8" s="143" t="s">
        <v>130</v>
      </c>
      <c r="I8" s="144" t="s">
        <v>131</v>
      </c>
      <c r="J8" s="142" t="s">
        <v>128</v>
      </c>
      <c r="K8" s="277" t="s">
        <v>129</v>
      </c>
      <c r="L8" s="143" t="s">
        <v>130</v>
      </c>
      <c r="M8" s="144" t="s">
        <v>131</v>
      </c>
      <c r="N8" s="142" t="s">
        <v>128</v>
      </c>
      <c r="O8" s="442" t="s">
        <v>129</v>
      </c>
      <c r="P8" s="143" t="s">
        <v>130</v>
      </c>
      <c r="Q8" s="144" t="s">
        <v>131</v>
      </c>
    </row>
    <row r="9" spans="1:21" ht="12.75">
      <c r="A9" s="145" t="s">
        <v>4</v>
      </c>
      <c r="B9" s="146">
        <f>List2!E6+List2!E12</f>
        <v>21577.02</v>
      </c>
      <c r="C9" s="278">
        <f>'HV-HC orig'!D17</f>
        <v>23671</v>
      </c>
      <c r="D9" s="147">
        <f aca="true" t="shared" si="0" ref="D9:D14">B9-C9</f>
        <v>-2093.9799999999996</v>
      </c>
      <c r="E9" s="148">
        <f>(C9/B9)*100</f>
        <v>109.70467654940302</v>
      </c>
      <c r="F9" s="146">
        <f>List2!F6+List2!F12</f>
        <v>161.98000000000002</v>
      </c>
      <c r="G9" s="278">
        <f>'HV-HC orig'!D19</f>
        <v>212</v>
      </c>
      <c r="H9" s="147">
        <f aca="true" t="shared" si="1" ref="H9:H14">F9-G9</f>
        <v>-50.01999999999998</v>
      </c>
      <c r="I9" s="148">
        <f>(G9/F9)*100</f>
        <v>130.8803555994567</v>
      </c>
      <c r="J9" s="146">
        <f>List2!H6+List2!H12+2370</f>
        <v>11116</v>
      </c>
      <c r="K9" s="278">
        <f>'HV-HC orig'!D45-'HV-HC orig'!D16-'HV-HC orig'!D17-'HV-HC orig'!D18-'HV-HC orig'!D19</f>
        <v>13812</v>
      </c>
      <c r="L9" s="147">
        <f aca="true" t="shared" si="2" ref="L9:L14">J9-K9</f>
        <v>-2696</v>
      </c>
      <c r="M9" s="148">
        <f aca="true" t="shared" si="3" ref="M9:M15">(K9/J9)*100</f>
        <v>124.2533285354444</v>
      </c>
      <c r="N9" s="146">
        <f aca="true" t="shared" si="4" ref="N9:N14">B9+F9+J9</f>
        <v>32855</v>
      </c>
      <c r="O9" s="443">
        <f aca="true" t="shared" si="5" ref="O9:O14">C9+G9+K9</f>
        <v>37695</v>
      </c>
      <c r="P9" s="147">
        <f aca="true" t="shared" si="6" ref="P9:P14">N9-O9</f>
        <v>-4840</v>
      </c>
      <c r="Q9" s="148">
        <f aca="true" t="shared" si="7" ref="Q9:Q15">(O9/N9)*100</f>
        <v>114.73139552579516</v>
      </c>
      <c r="U9" s="410"/>
    </row>
    <row r="10" spans="1:21" ht="12.75">
      <c r="A10" s="149" t="s">
        <v>5</v>
      </c>
      <c r="B10" s="150">
        <f>List2!E16+List2!E22</f>
        <v>641</v>
      </c>
      <c r="C10" s="279">
        <f>'HV-HC orig'!E17</f>
        <v>641</v>
      </c>
      <c r="D10" s="151">
        <f t="shared" si="0"/>
        <v>0</v>
      </c>
      <c r="E10" s="148">
        <f>(C10/B10)*100</f>
        <v>100</v>
      </c>
      <c r="F10" s="150">
        <f>List2!F16+List2!F22</f>
        <v>38</v>
      </c>
      <c r="G10" s="279">
        <f>'HV-HC orig'!E19</f>
        <v>38</v>
      </c>
      <c r="H10" s="151">
        <f t="shared" si="1"/>
        <v>0</v>
      </c>
      <c r="I10" s="148">
        <f>(G10/F10)*100</f>
        <v>100</v>
      </c>
      <c r="J10" s="150">
        <f>List2!H16+List2!H22+1615</f>
        <v>4028</v>
      </c>
      <c r="K10" s="279">
        <f>'HV-HC orig'!E45-'HV-HC orig'!E16-'HV-HC orig'!E17-'HV-HC orig'!E18-'HV-HC orig'!E19</f>
        <v>6449</v>
      </c>
      <c r="L10" s="151">
        <f t="shared" si="2"/>
        <v>-2421</v>
      </c>
      <c r="M10" s="148">
        <f t="shared" si="3"/>
        <v>160.10427010923536</v>
      </c>
      <c r="N10" s="150">
        <f t="shared" si="4"/>
        <v>4707</v>
      </c>
      <c r="O10" s="444">
        <f t="shared" si="5"/>
        <v>7128</v>
      </c>
      <c r="P10" s="151">
        <f t="shared" si="6"/>
        <v>-2421</v>
      </c>
      <c r="Q10" s="148">
        <f t="shared" si="7"/>
        <v>151.43403441682602</v>
      </c>
      <c r="U10" s="410"/>
    </row>
    <row r="11" spans="1:21" ht="12.75">
      <c r="A11" s="149" t="s">
        <v>6</v>
      </c>
      <c r="B11" s="150">
        <f>List2!E26+List2!E32</f>
        <v>30438.04</v>
      </c>
      <c r="C11" s="279">
        <f>'HV-HC orig'!F17+'HV-HC orig'!F18</f>
        <v>27004</v>
      </c>
      <c r="D11" s="151">
        <f t="shared" si="0"/>
        <v>3434.040000000001</v>
      </c>
      <c r="E11" s="148">
        <f>(C11/B11)*100</f>
        <v>88.71793321777618</v>
      </c>
      <c r="F11" s="150">
        <f>List2!F26+List2!F32</f>
        <v>1350.96</v>
      </c>
      <c r="G11" s="279">
        <f>'HV-HC orig'!F19</f>
        <v>1277</v>
      </c>
      <c r="H11" s="151">
        <f t="shared" si="1"/>
        <v>73.96000000000004</v>
      </c>
      <c r="I11" s="148">
        <f>(G11/F11)*100</f>
        <v>94.52537454846923</v>
      </c>
      <c r="J11" s="150">
        <f>List2!H26+List2!H32+3150</f>
        <v>29475</v>
      </c>
      <c r="K11" s="279">
        <f>'HV-HC orig'!F45-'HV-HC orig'!F16-'HV-HC orig'!F17-'HV-HC orig'!F18-'HV-HC orig'!F19</f>
        <v>66452</v>
      </c>
      <c r="L11" s="151">
        <f t="shared" si="2"/>
        <v>-36977</v>
      </c>
      <c r="M11" s="148">
        <f t="shared" si="3"/>
        <v>225.4520780322307</v>
      </c>
      <c r="N11" s="150">
        <f t="shared" si="4"/>
        <v>61264</v>
      </c>
      <c r="O11" s="444">
        <f t="shared" si="5"/>
        <v>94733</v>
      </c>
      <c r="P11" s="151">
        <f t="shared" si="6"/>
        <v>-33469</v>
      </c>
      <c r="Q11" s="148">
        <f t="shared" si="7"/>
        <v>154.63077827108907</v>
      </c>
      <c r="U11" s="410"/>
    </row>
    <row r="12" spans="1:21" ht="12.75">
      <c r="A12" s="149" t="s">
        <v>7</v>
      </c>
      <c r="B12" s="150">
        <f>List2!E36+List2!E42</f>
        <v>9634.4</v>
      </c>
      <c r="C12" s="279">
        <f>'HV-HC orig'!G17+'HV-HC orig'!G18</f>
        <v>9426</v>
      </c>
      <c r="D12" s="151">
        <f t="shared" si="0"/>
        <v>208.39999999999964</v>
      </c>
      <c r="E12" s="148">
        <f>(C12/B12)*100</f>
        <v>97.83691771153367</v>
      </c>
      <c r="F12" s="150">
        <f>List2!F36+List2!F42</f>
        <v>475.6</v>
      </c>
      <c r="G12" s="279">
        <f>'HV-HC orig'!G19</f>
        <v>481</v>
      </c>
      <c r="H12" s="151">
        <f t="shared" si="1"/>
        <v>-5.399999999999977</v>
      </c>
      <c r="I12" s="148">
        <f>(G12/F12)*100</f>
        <v>101.13540790580319</v>
      </c>
      <c r="J12" s="150">
        <f>List2!H36+List2!H42+29</f>
        <v>12782</v>
      </c>
      <c r="K12" s="279">
        <f>'HV-HC orig'!G45-'HV-HC orig'!G16-'HV-HC orig'!G17-'HV-HC orig'!G18-'HV-HC orig'!G19</f>
        <v>17494</v>
      </c>
      <c r="L12" s="151">
        <f t="shared" si="2"/>
        <v>-4712</v>
      </c>
      <c r="M12" s="148">
        <f t="shared" si="3"/>
        <v>136.8643404787983</v>
      </c>
      <c r="N12" s="150">
        <f t="shared" si="4"/>
        <v>22892</v>
      </c>
      <c r="O12" s="444">
        <f t="shared" si="5"/>
        <v>27401</v>
      </c>
      <c r="P12" s="151">
        <f t="shared" si="6"/>
        <v>-4509</v>
      </c>
      <c r="Q12" s="148">
        <f t="shared" si="7"/>
        <v>119.69683732308229</v>
      </c>
      <c r="U12" s="410"/>
    </row>
    <row r="13" spans="1:21" ht="12.75">
      <c r="A13" s="154" t="s">
        <v>8</v>
      </c>
      <c r="B13" s="150">
        <f>List2!E46+List2!E52</f>
        <v>19597.56</v>
      </c>
      <c r="C13" s="279">
        <f>'HV-HC orig'!H17+'HV-HC orig'!H18</f>
        <v>18617</v>
      </c>
      <c r="D13" s="153">
        <f t="shared" si="0"/>
        <v>980.5600000000013</v>
      </c>
      <c r="E13" s="148">
        <f>(C13/B13)*100</f>
        <v>94.99651997493565</v>
      </c>
      <c r="F13" s="150">
        <f>List2!F46+List2!F52</f>
        <v>666.44</v>
      </c>
      <c r="G13" s="279">
        <f>'HV-HC orig'!H19</f>
        <v>732</v>
      </c>
      <c r="H13" s="153">
        <f t="shared" si="1"/>
        <v>-65.55999999999995</v>
      </c>
      <c r="I13" s="148">
        <f>(G13/F13)*100</f>
        <v>109.83734469719704</v>
      </c>
      <c r="J13" s="150">
        <f>List2!H46+List2!H52+16175</f>
        <v>37454</v>
      </c>
      <c r="K13" s="279">
        <f>'HV-HC orig'!H45-'HV-HC orig'!H16-'HV-HC orig'!H17-'HV-HC orig'!H18-'HV-HC orig'!H19</f>
        <v>43400</v>
      </c>
      <c r="L13" s="153">
        <f t="shared" si="2"/>
        <v>-5946</v>
      </c>
      <c r="M13" s="148">
        <f t="shared" si="3"/>
        <v>115.87547391466866</v>
      </c>
      <c r="N13" s="152">
        <f t="shared" si="4"/>
        <v>57718</v>
      </c>
      <c r="O13" s="444">
        <f t="shared" si="5"/>
        <v>62749</v>
      </c>
      <c r="P13" s="153">
        <f t="shared" si="6"/>
        <v>-5031</v>
      </c>
      <c r="Q13" s="148">
        <f t="shared" si="7"/>
        <v>108.7165182438754</v>
      </c>
      <c r="U13" s="410"/>
    </row>
    <row r="14" spans="1:21" ht="13.5" thickBot="1">
      <c r="A14" s="154" t="s">
        <v>9</v>
      </c>
      <c r="B14" s="339">
        <f>UR10!F37</f>
        <v>0</v>
      </c>
      <c r="C14" s="280">
        <f>'HV-HC orig'!I17+'HV-HC orig'!I18</f>
        <v>812</v>
      </c>
      <c r="D14" s="153">
        <f t="shared" si="0"/>
        <v>-812</v>
      </c>
      <c r="E14" s="148"/>
      <c r="F14" s="150">
        <f>UR10!G37</f>
        <v>0</v>
      </c>
      <c r="G14" s="279">
        <f>'HV-HC orig'!I19</f>
        <v>32</v>
      </c>
      <c r="H14" s="153">
        <f t="shared" si="1"/>
        <v>-32</v>
      </c>
      <c r="I14" s="148"/>
      <c r="J14" s="339">
        <f>List2!H56+List2!H62+6850</f>
        <v>9185</v>
      </c>
      <c r="K14" s="280">
        <f>'HV-HC orig'!I45-'HV-HC orig'!I16-'HV-HC orig'!I17-'HV-HC orig'!I18-'HV-HC orig'!I19</f>
        <v>3315</v>
      </c>
      <c r="L14" s="156">
        <f t="shared" si="2"/>
        <v>5870</v>
      </c>
      <c r="M14" s="148">
        <f t="shared" si="3"/>
        <v>36.09145345672292</v>
      </c>
      <c r="N14" s="155">
        <f t="shared" si="4"/>
        <v>9185</v>
      </c>
      <c r="O14" s="445">
        <f t="shared" si="5"/>
        <v>4159</v>
      </c>
      <c r="P14" s="156">
        <f t="shared" si="6"/>
        <v>5026</v>
      </c>
      <c r="Q14" s="148">
        <f t="shared" si="7"/>
        <v>45.28034839412085</v>
      </c>
      <c r="U14" s="410"/>
    </row>
    <row r="15" spans="1:21" ht="16.5" thickBot="1">
      <c r="A15" s="157" t="s">
        <v>132</v>
      </c>
      <c r="B15" s="158">
        <f>SUM(B9:B14)</f>
        <v>81888.02</v>
      </c>
      <c r="C15" s="281">
        <f>SUM(C9:C14)</f>
        <v>80171</v>
      </c>
      <c r="D15" s="159">
        <f>SUM(D9:D14)</f>
        <v>1717.0200000000023</v>
      </c>
      <c r="E15" s="160">
        <f>(C15/B15)*100</f>
        <v>97.90320977354196</v>
      </c>
      <c r="F15" s="158">
        <f>SUM(F9:F14)</f>
        <v>2692.98</v>
      </c>
      <c r="G15" s="281">
        <f>SUM(G9:G14)</f>
        <v>2772</v>
      </c>
      <c r="H15" s="159">
        <f>SUM(H9:H14)+0.5</f>
        <v>-78.51999999999987</v>
      </c>
      <c r="I15" s="160">
        <f>(G15/F15)*100</f>
        <v>102.93429583583983</v>
      </c>
      <c r="J15" s="158">
        <f>SUM(J9:J14)</f>
        <v>104040</v>
      </c>
      <c r="K15" s="281">
        <f>SUM(K9:K14)</f>
        <v>150922</v>
      </c>
      <c r="L15" s="159">
        <f>SUM(L9:L14)</f>
        <v>-46882</v>
      </c>
      <c r="M15" s="160">
        <f t="shared" si="3"/>
        <v>145.06151480199924</v>
      </c>
      <c r="N15" s="158">
        <f>SUM(N9:N14)</f>
        <v>188621</v>
      </c>
      <c r="O15" s="446">
        <f>SUM(O9:O14)</f>
        <v>233865</v>
      </c>
      <c r="P15" s="159">
        <f>SUM(P9:P14)</f>
        <v>-45244</v>
      </c>
      <c r="Q15" s="160">
        <f t="shared" si="7"/>
        <v>123.98672470191548</v>
      </c>
      <c r="U15" s="410"/>
    </row>
    <row r="22" ht="12.75">
      <c r="F22" s="136"/>
    </row>
    <row r="23" spans="5:12" ht="12.75">
      <c r="E23" s="375"/>
      <c r="L23" s="434"/>
    </row>
    <row r="32" ht="12.75">
      <c r="D32" s="131" t="s">
        <v>286</v>
      </c>
    </row>
  </sheetData>
  <sheetProtection/>
  <printOptions/>
  <pageMargins left="0.25" right="0.25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14"/>
  <sheetViews>
    <sheetView zoomScale="85" zoomScaleNormal="85" zoomScalePageLayoutView="0" workbookViewId="0" topLeftCell="A22">
      <selection activeCell="H13" sqref="H13"/>
    </sheetView>
  </sheetViews>
  <sheetFormatPr defaultColWidth="9.140625" defaultRowHeight="12.75"/>
  <cols>
    <col min="1" max="1" width="17.28125" style="0" customWidth="1"/>
    <col min="2" max="2" width="9.7109375" style="0" customWidth="1"/>
    <col min="3" max="3" width="10.140625" style="0" customWidth="1"/>
    <col min="4" max="4" width="6.57421875" style="0" customWidth="1"/>
    <col min="6" max="6" width="10.140625" style="0" customWidth="1"/>
    <col min="7" max="7" width="7.28125" style="0" customWidth="1"/>
    <col min="8" max="8" width="8.140625" style="0" customWidth="1"/>
    <col min="9" max="9" width="9.57421875" style="0" customWidth="1"/>
    <col min="10" max="10" width="7.421875" style="0" customWidth="1"/>
    <col min="11" max="11" width="9.7109375" style="0" customWidth="1"/>
    <col min="12" max="12" width="11.7109375" style="0" customWidth="1"/>
    <col min="14" max="14" width="10.140625" style="0" customWidth="1"/>
    <col min="15" max="15" width="8.140625" style="0" customWidth="1"/>
    <col min="18" max="18" width="7.28125" style="0" customWidth="1"/>
  </cols>
  <sheetData>
    <row r="1" ht="15.75">
      <c r="N1" s="2" t="s">
        <v>196</v>
      </c>
    </row>
    <row r="2" ht="12.75">
      <c r="A2" s="100" t="s">
        <v>213</v>
      </c>
    </row>
    <row r="3" ht="12.75">
      <c r="A3" s="100"/>
    </row>
    <row r="4" ht="12.75">
      <c r="A4" s="100"/>
    </row>
    <row r="5" ht="13.5" thickBot="1">
      <c r="N5" t="s">
        <v>1</v>
      </c>
    </row>
    <row r="6" spans="1:18" ht="18" customHeight="1">
      <c r="A6" s="458" t="s">
        <v>103</v>
      </c>
      <c r="B6" s="460" t="s">
        <v>113</v>
      </c>
      <c r="C6" s="461"/>
      <c r="D6" s="462" t="s">
        <v>208</v>
      </c>
      <c r="E6" s="466" t="s">
        <v>114</v>
      </c>
      <c r="F6" s="461"/>
      <c r="G6" s="462" t="s">
        <v>208</v>
      </c>
      <c r="H6" s="466" t="s">
        <v>102</v>
      </c>
      <c r="I6" s="461"/>
      <c r="J6" s="462" t="s">
        <v>208</v>
      </c>
      <c r="K6" s="464" t="s">
        <v>115</v>
      </c>
      <c r="L6" s="464" t="s">
        <v>290</v>
      </c>
      <c r="M6" s="466" t="s">
        <v>116</v>
      </c>
      <c r="N6" s="461"/>
      <c r="O6" s="462" t="s">
        <v>208</v>
      </c>
      <c r="P6" s="467" t="s">
        <v>291</v>
      </c>
      <c r="Q6" s="461"/>
      <c r="R6" s="462" t="s">
        <v>208</v>
      </c>
    </row>
    <row r="7" spans="1:18" ht="21.75" customHeight="1" thickBot="1">
      <c r="A7" s="459"/>
      <c r="B7" s="112" t="s">
        <v>117</v>
      </c>
      <c r="C7" s="113" t="s">
        <v>118</v>
      </c>
      <c r="D7" s="463"/>
      <c r="E7" s="114" t="s">
        <v>117</v>
      </c>
      <c r="F7" s="113" t="s">
        <v>118</v>
      </c>
      <c r="G7" s="463"/>
      <c r="H7" s="114" t="s">
        <v>117</v>
      </c>
      <c r="I7" s="113" t="s">
        <v>118</v>
      </c>
      <c r="J7" s="463"/>
      <c r="K7" s="465"/>
      <c r="L7" s="465"/>
      <c r="M7" s="114" t="s">
        <v>117</v>
      </c>
      <c r="N7" s="113" t="s">
        <v>118</v>
      </c>
      <c r="O7" s="463"/>
      <c r="P7" s="114" t="s">
        <v>117</v>
      </c>
      <c r="Q7" s="113" t="s">
        <v>118</v>
      </c>
      <c r="R7" s="463"/>
    </row>
    <row r="8" spans="1:19" ht="12.75">
      <c r="A8" s="115" t="s">
        <v>4</v>
      </c>
      <c r="B8" s="212">
        <f>2000+350</f>
        <v>2350</v>
      </c>
      <c r="C8" s="212">
        <f>'HV-HC orig'!D46+'HV-HC orig'!D47+'HV-HC orig'!D48</f>
        <v>3550</v>
      </c>
      <c r="D8" s="118">
        <f aca="true" t="shared" si="0" ref="D8:D13">C8-B8</f>
        <v>1200</v>
      </c>
      <c r="E8" s="119">
        <v>20</v>
      </c>
      <c r="F8" s="116">
        <f>'HV-HC orig'!D67+'HV-HC orig'!D68</f>
        <v>2032</v>
      </c>
      <c r="G8" s="118">
        <f>F8-E8</f>
        <v>2012</v>
      </c>
      <c r="H8" s="119">
        <f>B8+E8</f>
        <v>2370</v>
      </c>
      <c r="I8" s="116">
        <f aca="true" t="shared" si="1" ref="H8:I13">C8+F8</f>
        <v>5582</v>
      </c>
      <c r="J8" s="118">
        <f>I8-H8</f>
        <v>3212</v>
      </c>
      <c r="K8" s="117">
        <f>'HV-HC orig'!D66</f>
        <v>45594</v>
      </c>
      <c r="L8" s="116"/>
      <c r="M8" s="119">
        <f aca="true" t="shared" si="2" ref="M8:M13">SUM(B8+E8)</f>
        <v>2370</v>
      </c>
      <c r="N8" s="117">
        <f aca="true" t="shared" si="3" ref="N8:N13">SUM(C8+F8+K8)</f>
        <v>51176</v>
      </c>
      <c r="O8" s="118">
        <f aca="true" t="shared" si="4" ref="O8:O13">N8-M8</f>
        <v>48806</v>
      </c>
      <c r="P8" s="119">
        <f>B8+E8</f>
        <v>2370</v>
      </c>
      <c r="Q8" s="116">
        <f aca="true" t="shared" si="5" ref="Q8:Q13">I8+L8</f>
        <v>5582</v>
      </c>
      <c r="R8" s="118">
        <f aca="true" t="shared" si="6" ref="R8:R13">Q8-P8</f>
        <v>3212</v>
      </c>
      <c r="S8" s="120"/>
    </row>
    <row r="9" spans="1:19" ht="12.75">
      <c r="A9" s="121" t="s">
        <v>110</v>
      </c>
      <c r="B9" s="106">
        <v>1615</v>
      </c>
      <c r="C9" s="212">
        <f>'HV-HC orig'!E47+'HV-HC orig'!E49+'HV-JC orig'!E47+'HV-JC orig'!E49</f>
        <v>4922</v>
      </c>
      <c r="D9" s="123">
        <f t="shared" si="0"/>
        <v>3307</v>
      </c>
      <c r="E9" s="124"/>
      <c r="F9" s="214">
        <f>'HV-HC orig'!E67+'HV-HC orig'!E68+'HV-JC orig'!E67</f>
        <v>576</v>
      </c>
      <c r="G9" s="123">
        <f>'HV-HC orig'!E67+'HV-HC orig'!E68+'HV-JC orig'!E67</f>
        <v>576</v>
      </c>
      <c r="H9" s="119">
        <f t="shared" si="1"/>
        <v>1615</v>
      </c>
      <c r="I9" s="116">
        <f t="shared" si="1"/>
        <v>5498</v>
      </c>
      <c r="J9" s="123">
        <f>'HV-HC orig'!H67+'HV-HC orig'!H68+'HV-JC orig'!H67</f>
        <v>2719</v>
      </c>
      <c r="K9" s="103">
        <f>'HV-HC orig'!E66+'HV-JC orig'!E66</f>
        <v>1200</v>
      </c>
      <c r="L9" s="186">
        <f>K9</f>
        <v>1200</v>
      </c>
      <c r="M9" s="126">
        <f t="shared" si="2"/>
        <v>1615</v>
      </c>
      <c r="N9" s="117">
        <f t="shared" si="3"/>
        <v>6698</v>
      </c>
      <c r="O9" s="125">
        <f t="shared" si="4"/>
        <v>5083</v>
      </c>
      <c r="P9" s="119">
        <f>B9</f>
        <v>1615</v>
      </c>
      <c r="Q9" s="116">
        <f t="shared" si="5"/>
        <v>6698</v>
      </c>
      <c r="R9" s="118">
        <f t="shared" si="6"/>
        <v>5083</v>
      </c>
      <c r="S9" s="120"/>
    </row>
    <row r="10" spans="1:19" ht="12.75">
      <c r="A10" s="121" t="s">
        <v>6</v>
      </c>
      <c r="B10" s="106">
        <f>2900+250</f>
        <v>3150</v>
      </c>
      <c r="C10" s="106">
        <f>'HV-HC orig'!F47+'HV-HC orig'!F48+'HV-HC orig'!F49+'HV-JC orig'!F46+'HV-JC orig'!F47</f>
        <v>4335</v>
      </c>
      <c r="D10" s="123">
        <f t="shared" si="0"/>
        <v>1185</v>
      </c>
      <c r="E10" s="124"/>
      <c r="F10" s="107">
        <f>'HV-HC orig'!F64+'HV-HC orig'!F67+'HV-HC orig'!F68+'HV-HC orig'!F69</f>
        <v>4645</v>
      </c>
      <c r="G10" s="123">
        <f>F10-E10</f>
        <v>4645</v>
      </c>
      <c r="H10" s="119">
        <f t="shared" si="1"/>
        <v>3150</v>
      </c>
      <c r="I10" s="116">
        <f t="shared" si="1"/>
        <v>8980</v>
      </c>
      <c r="J10" s="123">
        <f>I10-H10</f>
        <v>5830</v>
      </c>
      <c r="K10" s="103">
        <f>'HV-HC orig'!F66</f>
        <v>14955</v>
      </c>
      <c r="L10" s="186"/>
      <c r="M10" s="126">
        <f t="shared" si="2"/>
        <v>3150</v>
      </c>
      <c r="N10" s="117">
        <f t="shared" si="3"/>
        <v>23935</v>
      </c>
      <c r="O10" s="125">
        <f t="shared" si="4"/>
        <v>20785</v>
      </c>
      <c r="P10" s="119">
        <f>B10</f>
        <v>3150</v>
      </c>
      <c r="Q10" s="116">
        <f t="shared" si="5"/>
        <v>8980</v>
      </c>
      <c r="R10" s="118">
        <f t="shared" si="6"/>
        <v>5830</v>
      </c>
      <c r="S10" s="120"/>
    </row>
    <row r="11" spans="1:19" ht="12.75">
      <c r="A11" s="121" t="s">
        <v>7</v>
      </c>
      <c r="B11" s="106">
        <v>29</v>
      </c>
      <c r="C11" s="106">
        <f>'HV-HC orig'!G47+'HV-JC orig'!G49</f>
        <v>139</v>
      </c>
      <c r="D11" s="123">
        <f t="shared" si="0"/>
        <v>110</v>
      </c>
      <c r="E11" s="124"/>
      <c r="F11" s="122">
        <f>'HV-HC orig'!G67+'HV-HC orig'!G68</f>
        <v>152</v>
      </c>
      <c r="G11" s="123">
        <f>F11-E11</f>
        <v>152</v>
      </c>
      <c r="H11" s="119">
        <f t="shared" si="1"/>
        <v>29</v>
      </c>
      <c r="I11" s="116">
        <f t="shared" si="1"/>
        <v>291</v>
      </c>
      <c r="J11" s="123">
        <f>I11-H11</f>
        <v>262</v>
      </c>
      <c r="K11" s="103">
        <f>'HV-HC orig'!G66</f>
        <v>169</v>
      </c>
      <c r="L11" s="186">
        <f>K11</f>
        <v>169</v>
      </c>
      <c r="M11" s="126">
        <f t="shared" si="2"/>
        <v>29</v>
      </c>
      <c r="N11" s="117">
        <f t="shared" si="3"/>
        <v>460</v>
      </c>
      <c r="O11" s="125">
        <f t="shared" si="4"/>
        <v>431</v>
      </c>
      <c r="P11" s="119">
        <f>B11</f>
        <v>29</v>
      </c>
      <c r="Q11" s="116">
        <f t="shared" si="5"/>
        <v>460</v>
      </c>
      <c r="R11" s="118">
        <f t="shared" si="6"/>
        <v>431</v>
      </c>
      <c r="S11" s="120"/>
    </row>
    <row r="12" spans="1:19" ht="12.75">
      <c r="A12" s="121" t="s">
        <v>8</v>
      </c>
      <c r="B12" s="106">
        <v>16175</v>
      </c>
      <c r="C12" s="106">
        <f>'HV-HC orig'!H47</f>
        <v>16750</v>
      </c>
      <c r="D12" s="123">
        <f t="shared" si="0"/>
        <v>575</v>
      </c>
      <c r="E12" s="124"/>
      <c r="F12" s="122">
        <f>'HV-HC orig'!H60+'HV-HC orig'!H64+'HV-HC orig'!H67+'HV-HC orig'!H68</f>
        <v>2967</v>
      </c>
      <c r="G12" s="123">
        <f>F12-E12</f>
        <v>2967</v>
      </c>
      <c r="H12" s="119">
        <f t="shared" si="1"/>
        <v>16175</v>
      </c>
      <c r="I12" s="116">
        <f t="shared" si="1"/>
        <v>19717</v>
      </c>
      <c r="J12" s="123">
        <f>I12-H12</f>
        <v>3542</v>
      </c>
      <c r="K12" s="103">
        <f>'HV-HC orig'!H66</f>
        <v>4265</v>
      </c>
      <c r="L12" s="186">
        <f>K12</f>
        <v>4265</v>
      </c>
      <c r="M12" s="126">
        <f t="shared" si="2"/>
        <v>16175</v>
      </c>
      <c r="N12" s="117">
        <f t="shared" si="3"/>
        <v>23982</v>
      </c>
      <c r="O12" s="125">
        <f t="shared" si="4"/>
        <v>7807</v>
      </c>
      <c r="P12" s="119">
        <f>B12</f>
        <v>16175</v>
      </c>
      <c r="Q12" s="116">
        <f t="shared" si="5"/>
        <v>23982</v>
      </c>
      <c r="R12" s="118">
        <f t="shared" si="6"/>
        <v>7807</v>
      </c>
      <c r="S12" s="120"/>
    </row>
    <row r="13" spans="1:19" ht="12.75">
      <c r="A13" s="121" t="s">
        <v>9</v>
      </c>
      <c r="B13" s="221">
        <v>5650</v>
      </c>
      <c r="C13" s="221">
        <f>'HV-HC orig'!I47+'HV-JC orig'!I47</f>
        <v>4323</v>
      </c>
      <c r="D13" s="123">
        <f t="shared" si="0"/>
        <v>-1327</v>
      </c>
      <c r="E13" s="124">
        <v>1200</v>
      </c>
      <c r="F13" s="122">
        <f>'HV-HC orig'!I67+'HV-HC orig'!I68</f>
        <v>354</v>
      </c>
      <c r="G13" s="123">
        <f>F13-E13</f>
        <v>-846</v>
      </c>
      <c r="H13" s="119">
        <f t="shared" si="1"/>
        <v>6850</v>
      </c>
      <c r="I13" s="116">
        <f t="shared" si="1"/>
        <v>4677</v>
      </c>
      <c r="J13" s="123">
        <f>I13-H13</f>
        <v>-2173</v>
      </c>
      <c r="K13" s="103">
        <f>'HV-HC orig'!I66</f>
        <v>190</v>
      </c>
      <c r="L13" s="186">
        <f>K13</f>
        <v>190</v>
      </c>
      <c r="M13" s="126">
        <f t="shared" si="2"/>
        <v>6850</v>
      </c>
      <c r="N13" s="117">
        <f t="shared" si="3"/>
        <v>4867</v>
      </c>
      <c r="O13" s="125">
        <f t="shared" si="4"/>
        <v>-1983</v>
      </c>
      <c r="P13" s="119">
        <f>B13+E13</f>
        <v>6850</v>
      </c>
      <c r="Q13" s="116">
        <f t="shared" si="5"/>
        <v>4867</v>
      </c>
      <c r="R13" s="118">
        <f t="shared" si="6"/>
        <v>-1983</v>
      </c>
      <c r="S13" s="120"/>
    </row>
    <row r="14" spans="1:18" ht="13.5" thickBot="1">
      <c r="A14" s="127" t="s">
        <v>111</v>
      </c>
      <c r="B14" s="128">
        <f aca="true" t="shared" si="7" ref="B14:R14">SUM(B8:B13)</f>
        <v>28969</v>
      </c>
      <c r="C14" s="110">
        <f t="shared" si="7"/>
        <v>34019</v>
      </c>
      <c r="D14" s="111">
        <f t="shared" si="7"/>
        <v>5050</v>
      </c>
      <c r="E14" s="129">
        <f t="shared" si="7"/>
        <v>1220</v>
      </c>
      <c r="F14" s="110">
        <f t="shared" si="7"/>
        <v>10726</v>
      </c>
      <c r="G14" s="111">
        <f t="shared" si="7"/>
        <v>9506</v>
      </c>
      <c r="H14" s="129">
        <f>SUM(H8:H13)</f>
        <v>30189</v>
      </c>
      <c r="I14" s="110">
        <f>SUM(I8:I13)</f>
        <v>44745</v>
      </c>
      <c r="J14" s="111">
        <f>SUM(J8:J13)</f>
        <v>13392</v>
      </c>
      <c r="K14" s="110">
        <f t="shared" si="7"/>
        <v>66373</v>
      </c>
      <c r="L14" s="110">
        <f t="shared" si="7"/>
        <v>5824</v>
      </c>
      <c r="M14" s="130">
        <f t="shared" si="7"/>
        <v>30189</v>
      </c>
      <c r="N14" s="110">
        <f>SUM(N8:N13)</f>
        <v>111118</v>
      </c>
      <c r="O14" s="111">
        <f t="shared" si="7"/>
        <v>80929</v>
      </c>
      <c r="P14" s="129">
        <f t="shared" si="7"/>
        <v>30189</v>
      </c>
      <c r="Q14" s="110">
        <f t="shared" si="7"/>
        <v>50569</v>
      </c>
      <c r="R14" s="111">
        <f t="shared" si="7"/>
        <v>20380</v>
      </c>
    </row>
  </sheetData>
  <sheetProtection/>
  <mergeCells count="13">
    <mergeCell ref="P6:Q6"/>
    <mergeCell ref="R6:R7"/>
    <mergeCell ref="O6:O7"/>
    <mergeCell ref="M6:N6"/>
    <mergeCell ref="A6:A7"/>
    <mergeCell ref="B6:C6"/>
    <mergeCell ref="D6:D7"/>
    <mergeCell ref="L6:L7"/>
    <mergeCell ref="K6:K7"/>
    <mergeCell ref="H6:I6"/>
    <mergeCell ref="J6:J7"/>
    <mergeCell ref="E6:F6"/>
    <mergeCell ref="G6:G7"/>
  </mergeCells>
  <printOptions/>
  <pageMargins left="0.29" right="0.25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14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9.8515625" style="0" customWidth="1"/>
    <col min="4" max="5" width="11.57421875" style="0" customWidth="1"/>
    <col min="6" max="6" width="10.7109375" style="0" customWidth="1"/>
    <col min="8" max="8" width="12.00390625" style="0" customWidth="1"/>
  </cols>
  <sheetData>
    <row r="1" ht="15.75">
      <c r="H1" s="133" t="s">
        <v>197</v>
      </c>
    </row>
    <row r="3" ht="12.75">
      <c r="A3" s="100" t="s">
        <v>214</v>
      </c>
    </row>
    <row r="4" ht="12.75">
      <c r="A4" s="100"/>
    </row>
    <row r="5" ht="13.5" thickBot="1">
      <c r="F5" t="s">
        <v>1</v>
      </c>
    </row>
    <row r="6" spans="1:8" ht="12.75" customHeight="1">
      <c r="A6" s="470" t="s">
        <v>103</v>
      </c>
      <c r="B6" s="472" t="s">
        <v>104</v>
      </c>
      <c r="C6" s="473"/>
      <c r="D6" s="472" t="s">
        <v>105</v>
      </c>
      <c r="E6" s="473"/>
      <c r="F6" s="472" t="s">
        <v>106</v>
      </c>
      <c r="G6" s="473"/>
      <c r="H6" s="468" t="s">
        <v>107</v>
      </c>
    </row>
    <row r="7" spans="1:8" ht="25.5">
      <c r="A7" s="471"/>
      <c r="B7" s="101" t="s">
        <v>104</v>
      </c>
      <c r="C7" s="101" t="s">
        <v>108</v>
      </c>
      <c r="D7" s="101" t="s">
        <v>105</v>
      </c>
      <c r="E7" s="101" t="s">
        <v>108</v>
      </c>
      <c r="F7" s="101" t="s">
        <v>109</v>
      </c>
      <c r="G7" s="101" t="s">
        <v>108</v>
      </c>
      <c r="H7" s="469"/>
    </row>
    <row r="8" spans="1:8" ht="12.75">
      <c r="A8" s="102" t="s">
        <v>4</v>
      </c>
      <c r="B8" s="116">
        <f>'HV-HC orig'!D77</f>
        <v>750</v>
      </c>
      <c r="C8" s="103"/>
      <c r="D8" s="103"/>
      <c r="E8" s="103"/>
      <c r="F8" s="103">
        <f aca="true" t="shared" si="0" ref="F8:F13">D8+B8</f>
        <v>750</v>
      </c>
      <c r="G8" s="103">
        <f aca="true" t="shared" si="1" ref="G8:G13">C8+E8</f>
        <v>0</v>
      </c>
      <c r="H8" s="104">
        <f aca="true" t="shared" si="2" ref="H8:H13">F8-G8</f>
        <v>750</v>
      </c>
    </row>
    <row r="9" spans="1:8" ht="12.75">
      <c r="A9" s="105" t="s">
        <v>110</v>
      </c>
      <c r="B9" s="214">
        <f>'HV-HC orig'!E77</f>
        <v>-145</v>
      </c>
      <c r="C9" s="106"/>
      <c r="D9" s="106">
        <f>'HV-JC orig'!E77</f>
        <v>189</v>
      </c>
      <c r="E9" s="106"/>
      <c r="F9" s="106">
        <f t="shared" si="0"/>
        <v>44</v>
      </c>
      <c r="G9" s="103">
        <f t="shared" si="1"/>
        <v>0</v>
      </c>
      <c r="H9" s="104">
        <f t="shared" si="2"/>
        <v>44</v>
      </c>
    </row>
    <row r="10" spans="1:8" ht="12.75">
      <c r="A10" s="105" t="s">
        <v>6</v>
      </c>
      <c r="B10" s="107">
        <f>'HV-HC orig'!F77</f>
        <v>403</v>
      </c>
      <c r="C10" s="106">
        <f>'HV-HC orig'!F78</f>
        <v>76</v>
      </c>
      <c r="D10" s="106">
        <f>'HV-JC orig'!F77</f>
        <v>256</v>
      </c>
      <c r="E10" s="106">
        <f>'HV-JC orig'!F78</f>
        <v>32</v>
      </c>
      <c r="F10" s="106">
        <f t="shared" si="0"/>
        <v>659</v>
      </c>
      <c r="G10" s="103">
        <f t="shared" si="1"/>
        <v>108</v>
      </c>
      <c r="H10" s="104">
        <f t="shared" si="2"/>
        <v>551</v>
      </c>
    </row>
    <row r="11" spans="1:8" ht="12.75">
      <c r="A11" s="105" t="s">
        <v>7</v>
      </c>
      <c r="B11" s="122">
        <f>'HV-HC orig'!G77</f>
        <v>1672</v>
      </c>
      <c r="C11" s="106"/>
      <c r="D11" s="106">
        <f>'HV-JC orig'!G77</f>
        <v>28</v>
      </c>
      <c r="E11" s="106"/>
      <c r="F11" s="106">
        <f t="shared" si="0"/>
        <v>1700</v>
      </c>
      <c r="G11" s="103">
        <f t="shared" si="1"/>
        <v>0</v>
      </c>
      <c r="H11" s="104">
        <f t="shared" si="2"/>
        <v>1700</v>
      </c>
    </row>
    <row r="12" spans="1:8" ht="12.75">
      <c r="A12" s="105" t="s">
        <v>8</v>
      </c>
      <c r="B12" s="122">
        <f>'HV-HC orig'!H77</f>
        <v>1186</v>
      </c>
      <c r="C12" s="106">
        <f>'HV-HC orig'!H78</f>
        <v>103</v>
      </c>
      <c r="D12" s="106"/>
      <c r="E12" s="106"/>
      <c r="F12" s="106">
        <f t="shared" si="0"/>
        <v>1186</v>
      </c>
      <c r="G12" s="103">
        <f t="shared" si="1"/>
        <v>103</v>
      </c>
      <c r="H12" s="104">
        <f t="shared" si="2"/>
        <v>1083</v>
      </c>
    </row>
    <row r="13" spans="1:8" ht="12.75">
      <c r="A13" s="105" t="s">
        <v>9</v>
      </c>
      <c r="B13" s="122">
        <f>'HV-HC orig'!I77</f>
        <v>-31</v>
      </c>
      <c r="C13" s="108"/>
      <c r="D13" s="106">
        <f>'HV-JC orig'!I77</f>
        <v>31</v>
      </c>
      <c r="E13" s="106"/>
      <c r="F13" s="106">
        <f t="shared" si="0"/>
        <v>0</v>
      </c>
      <c r="G13" s="103">
        <f t="shared" si="1"/>
        <v>0</v>
      </c>
      <c r="H13" s="104">
        <f t="shared" si="2"/>
        <v>0</v>
      </c>
    </row>
    <row r="14" spans="1:8" ht="13.5" thickBot="1">
      <c r="A14" s="109" t="s">
        <v>111</v>
      </c>
      <c r="B14" s="110">
        <f aca="true" t="shared" si="3" ref="B14:H14">SUM(B8:B13)</f>
        <v>3835</v>
      </c>
      <c r="C14" s="110">
        <f t="shared" si="3"/>
        <v>179</v>
      </c>
      <c r="D14" s="110">
        <f t="shared" si="3"/>
        <v>504</v>
      </c>
      <c r="E14" s="110">
        <f t="shared" si="3"/>
        <v>32</v>
      </c>
      <c r="F14" s="110">
        <f t="shared" si="3"/>
        <v>4339</v>
      </c>
      <c r="G14" s="110">
        <f t="shared" si="3"/>
        <v>211</v>
      </c>
      <c r="H14" s="111">
        <f t="shared" si="3"/>
        <v>4128</v>
      </c>
    </row>
  </sheetData>
  <sheetProtection/>
  <mergeCells count="5">
    <mergeCell ref="H6:H7"/>
    <mergeCell ref="A6:A7"/>
    <mergeCell ref="B6:C6"/>
    <mergeCell ref="D6:E6"/>
    <mergeCell ref="F6:G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S84"/>
  <sheetViews>
    <sheetView tabSelected="1" zoomScale="90" zoomScaleNormal="90" zoomScalePageLayoutView="0" workbookViewId="0" topLeftCell="A1">
      <pane xSplit="3" ySplit="7" topLeftCell="O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1" sqref="O11"/>
    </sheetView>
  </sheetViews>
  <sheetFormatPr defaultColWidth="9.140625" defaultRowHeight="12.75"/>
  <cols>
    <col min="1" max="1" width="6.7109375" style="92" customWidth="1"/>
    <col min="2" max="2" width="43.140625" style="92" customWidth="1"/>
    <col min="3" max="3" width="7.140625" style="92" bestFit="1" customWidth="1"/>
    <col min="4" max="4" width="12.00390625" style="92" customWidth="1"/>
    <col min="5" max="5" width="10.57421875" style="92" customWidth="1"/>
    <col min="6" max="6" width="12.140625" style="92" customWidth="1"/>
    <col min="7" max="7" width="10.57421875" style="92" customWidth="1"/>
    <col min="8" max="8" width="12.7109375" style="92" customWidth="1"/>
    <col min="9" max="9" width="11.7109375" style="92" customWidth="1"/>
    <col min="10" max="10" width="13.8515625" style="92" customWidth="1"/>
    <col min="11" max="16384" width="9.140625" style="92" customWidth="1"/>
  </cols>
  <sheetData>
    <row r="1" ht="15.75">
      <c r="J1" s="133" t="s">
        <v>177</v>
      </c>
    </row>
    <row r="2" spans="1:11" ht="15.75">
      <c r="A2" s="93" t="s">
        <v>215</v>
      </c>
      <c r="B2" s="88"/>
      <c r="C2" s="88"/>
      <c r="D2" s="88"/>
      <c r="E2" s="88"/>
      <c r="F2" s="88"/>
      <c r="G2" s="88"/>
      <c r="H2" s="90"/>
      <c r="J2" s="90"/>
      <c r="K2" s="94"/>
    </row>
    <row r="3" spans="1:10" ht="15.75">
      <c r="A3" s="93"/>
      <c r="B3" s="93"/>
      <c r="C3" s="93"/>
      <c r="D3" s="93"/>
      <c r="E3" s="93"/>
      <c r="F3" s="93"/>
      <c r="G3" s="93"/>
      <c r="H3" s="95"/>
      <c r="I3" s="95"/>
      <c r="J3" s="95"/>
    </row>
    <row r="4" spans="3:11" ht="15.75">
      <c r="C4" s="95"/>
      <c r="D4" s="95"/>
      <c r="E4" s="95"/>
      <c r="F4" s="95"/>
      <c r="G4" s="95"/>
      <c r="H4" s="95"/>
      <c r="I4" s="95"/>
      <c r="J4" s="95"/>
      <c r="K4" s="95"/>
    </row>
    <row r="6" ht="13.5" thickBot="1">
      <c r="J6" s="99" t="s">
        <v>26</v>
      </c>
    </row>
    <row r="7" spans="1:10" ht="13.5" thickBot="1">
      <c r="A7" s="244" t="s">
        <v>27</v>
      </c>
      <c r="B7" s="245" t="s">
        <v>28</v>
      </c>
      <c r="C7" s="246" t="s">
        <v>29</v>
      </c>
      <c r="D7" s="247" t="s">
        <v>100</v>
      </c>
      <c r="E7" s="247" t="s">
        <v>30</v>
      </c>
      <c r="F7" s="247" t="s">
        <v>174</v>
      </c>
      <c r="G7" s="247" t="s">
        <v>175</v>
      </c>
      <c r="H7" s="247" t="s">
        <v>101</v>
      </c>
      <c r="I7" s="247" t="s">
        <v>31</v>
      </c>
      <c r="J7" s="248" t="s">
        <v>102</v>
      </c>
    </row>
    <row r="8" spans="1:10" s="312" customFormat="1" ht="14.25" customHeight="1">
      <c r="A8" s="249" t="s">
        <v>32</v>
      </c>
      <c r="B8" s="250" t="s">
        <v>33</v>
      </c>
      <c r="C8" s="251">
        <v>1</v>
      </c>
      <c r="D8" s="365">
        <v>4045</v>
      </c>
      <c r="E8" s="365">
        <v>2079</v>
      </c>
      <c r="F8" s="365">
        <v>5589</v>
      </c>
      <c r="G8" s="365">
        <v>1421</v>
      </c>
      <c r="H8" s="365">
        <v>8394</v>
      </c>
      <c r="I8" s="365">
        <v>724</v>
      </c>
      <c r="J8" s="252">
        <f>D8+E8+F8+G8+H8+I8</f>
        <v>22252</v>
      </c>
    </row>
    <row r="9" spans="1:10" s="312" customFormat="1" ht="14.25" customHeight="1">
      <c r="A9" s="253" t="s">
        <v>34</v>
      </c>
      <c r="B9" s="254" t="s">
        <v>35</v>
      </c>
      <c r="C9" s="255">
        <v>2</v>
      </c>
      <c r="D9" s="366">
        <v>970</v>
      </c>
      <c r="E9" s="366">
        <v>690</v>
      </c>
      <c r="F9" s="366">
        <v>1683</v>
      </c>
      <c r="G9" s="366">
        <v>0</v>
      </c>
      <c r="H9" s="366">
        <v>6277</v>
      </c>
      <c r="I9" s="366">
        <v>540</v>
      </c>
      <c r="J9" s="252">
        <f aca="true" t="shared" si="0" ref="J9:J72">D9+E9+F9+G9+H9+I9</f>
        <v>10160</v>
      </c>
    </row>
    <row r="10" spans="1:10" s="312" customFormat="1" ht="14.25" customHeight="1">
      <c r="A10" s="253" t="s">
        <v>36</v>
      </c>
      <c r="B10" s="254" t="s">
        <v>220</v>
      </c>
      <c r="C10" s="255">
        <v>3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252">
        <f t="shared" si="0"/>
        <v>0</v>
      </c>
    </row>
    <row r="11" spans="1:10" s="312" customFormat="1" ht="14.25" customHeight="1">
      <c r="A11" s="253" t="s">
        <v>37</v>
      </c>
      <c r="B11" s="254" t="s">
        <v>38</v>
      </c>
      <c r="C11" s="255">
        <v>4</v>
      </c>
      <c r="D11" s="366">
        <v>0</v>
      </c>
      <c r="E11" s="366">
        <v>446</v>
      </c>
      <c r="F11" s="366">
        <v>77</v>
      </c>
      <c r="G11" s="366">
        <v>0</v>
      </c>
      <c r="H11" s="366">
        <v>0</v>
      </c>
      <c r="I11" s="366">
        <v>0</v>
      </c>
      <c r="J11" s="252">
        <f t="shared" si="0"/>
        <v>523</v>
      </c>
    </row>
    <row r="12" spans="1:10" s="312" customFormat="1" ht="14.25" customHeight="1">
      <c r="A12" s="253" t="s">
        <v>39</v>
      </c>
      <c r="B12" s="254" t="s">
        <v>40</v>
      </c>
      <c r="C12" s="255">
        <v>5</v>
      </c>
      <c r="D12" s="366">
        <v>56</v>
      </c>
      <c r="E12" s="366">
        <v>300</v>
      </c>
      <c r="F12" s="366">
        <v>925</v>
      </c>
      <c r="G12" s="366">
        <v>99</v>
      </c>
      <c r="H12" s="366">
        <v>2885</v>
      </c>
      <c r="I12" s="366">
        <v>244</v>
      </c>
      <c r="J12" s="252">
        <f t="shared" si="0"/>
        <v>4509</v>
      </c>
    </row>
    <row r="13" spans="1:10" s="312" customFormat="1" ht="14.25" customHeight="1">
      <c r="A13" s="253" t="s">
        <v>41</v>
      </c>
      <c r="B13" s="254" t="s">
        <v>42</v>
      </c>
      <c r="C13" s="255">
        <v>6</v>
      </c>
      <c r="D13" s="366">
        <v>2303</v>
      </c>
      <c r="E13" s="366">
        <v>1</v>
      </c>
      <c r="F13" s="366">
        <v>3673</v>
      </c>
      <c r="G13" s="366">
        <v>342</v>
      </c>
      <c r="H13" s="366">
        <v>1112</v>
      </c>
      <c r="I13" s="366">
        <v>76</v>
      </c>
      <c r="J13" s="252">
        <f t="shared" si="0"/>
        <v>7507</v>
      </c>
    </row>
    <row r="14" spans="1:10" s="312" customFormat="1" ht="14.25" customHeight="1">
      <c r="A14" s="253" t="s">
        <v>43</v>
      </c>
      <c r="B14" s="254" t="s">
        <v>44</v>
      </c>
      <c r="C14" s="255">
        <v>7</v>
      </c>
      <c r="D14" s="366">
        <v>88</v>
      </c>
      <c r="E14" s="366">
        <v>0</v>
      </c>
      <c r="F14" s="366">
        <v>1087</v>
      </c>
      <c r="G14" s="366">
        <v>141</v>
      </c>
      <c r="H14" s="366">
        <v>14</v>
      </c>
      <c r="I14" s="366">
        <v>11</v>
      </c>
      <c r="J14" s="252">
        <f t="shared" si="0"/>
        <v>1341</v>
      </c>
    </row>
    <row r="15" spans="1:10" s="312" customFormat="1" ht="14.25" customHeight="1">
      <c r="A15" s="253" t="s">
        <v>45</v>
      </c>
      <c r="B15" s="254" t="s">
        <v>46</v>
      </c>
      <c r="C15" s="255">
        <v>8</v>
      </c>
      <c r="D15" s="366">
        <v>5080</v>
      </c>
      <c r="E15" s="366">
        <v>706</v>
      </c>
      <c r="F15" s="366">
        <v>50321</v>
      </c>
      <c r="G15" s="366">
        <v>14343</v>
      </c>
      <c r="H15" s="366">
        <v>19138</v>
      </c>
      <c r="I15" s="366">
        <v>1021</v>
      </c>
      <c r="J15" s="252">
        <f t="shared" si="0"/>
        <v>90609</v>
      </c>
    </row>
    <row r="16" spans="1:10" s="312" customFormat="1" ht="14.25" customHeight="1">
      <c r="A16" s="253" t="s">
        <v>47</v>
      </c>
      <c r="B16" s="254" t="s">
        <v>48</v>
      </c>
      <c r="C16" s="255">
        <v>9</v>
      </c>
      <c r="D16" s="366">
        <v>72955</v>
      </c>
      <c r="E16" s="366">
        <v>2017</v>
      </c>
      <c r="F16" s="366">
        <v>122945</v>
      </c>
      <c r="G16" s="366">
        <v>35675</v>
      </c>
      <c r="H16" s="366">
        <v>74314</v>
      </c>
      <c r="I16" s="366">
        <v>2403</v>
      </c>
      <c r="J16" s="252">
        <f t="shared" si="0"/>
        <v>310309</v>
      </c>
    </row>
    <row r="17" spans="1:10" s="312" customFormat="1" ht="14.25" customHeight="1">
      <c r="A17" s="253" t="s">
        <v>49</v>
      </c>
      <c r="B17" s="254" t="s">
        <v>50</v>
      </c>
      <c r="C17" s="255">
        <v>10</v>
      </c>
      <c r="D17" s="366">
        <v>23671</v>
      </c>
      <c r="E17" s="366">
        <v>641</v>
      </c>
      <c r="F17" s="366">
        <v>27004</v>
      </c>
      <c r="G17" s="366">
        <v>9426</v>
      </c>
      <c r="H17" s="366">
        <v>18617</v>
      </c>
      <c r="I17" s="366">
        <v>796</v>
      </c>
      <c r="J17" s="252">
        <f t="shared" si="0"/>
        <v>80155</v>
      </c>
    </row>
    <row r="18" spans="1:10" s="312" customFormat="1" ht="14.25" customHeight="1">
      <c r="A18" s="253" t="s">
        <v>51</v>
      </c>
      <c r="B18" s="254" t="s">
        <v>221</v>
      </c>
      <c r="C18" s="255">
        <v>11</v>
      </c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16</v>
      </c>
      <c r="J18" s="252">
        <f t="shared" si="0"/>
        <v>16</v>
      </c>
    </row>
    <row r="19" spans="1:71" s="431" customFormat="1" ht="14.25" customHeight="1">
      <c r="A19" s="426" t="s">
        <v>52</v>
      </c>
      <c r="B19" s="427" t="s">
        <v>53</v>
      </c>
      <c r="C19" s="428">
        <v>12</v>
      </c>
      <c r="D19" s="429">
        <v>212</v>
      </c>
      <c r="E19" s="429">
        <v>38</v>
      </c>
      <c r="F19" s="429">
        <v>1277</v>
      </c>
      <c r="G19" s="429">
        <v>481</v>
      </c>
      <c r="H19" s="429">
        <v>732</v>
      </c>
      <c r="I19" s="429">
        <v>32</v>
      </c>
      <c r="J19" s="430">
        <f t="shared" si="0"/>
        <v>2772</v>
      </c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</row>
    <row r="20" spans="1:10" s="312" customFormat="1" ht="14.25" customHeight="1">
      <c r="A20" s="253" t="s">
        <v>54</v>
      </c>
      <c r="B20" s="254" t="s">
        <v>222</v>
      </c>
      <c r="C20" s="255">
        <v>13</v>
      </c>
      <c r="D20" s="366">
        <v>253</v>
      </c>
      <c r="E20" s="366">
        <v>4</v>
      </c>
      <c r="F20" s="366">
        <v>46</v>
      </c>
      <c r="G20" s="366">
        <v>54</v>
      </c>
      <c r="H20" s="366">
        <v>44</v>
      </c>
      <c r="I20" s="366">
        <v>6</v>
      </c>
      <c r="J20" s="252">
        <f t="shared" si="0"/>
        <v>407</v>
      </c>
    </row>
    <row r="21" spans="1:10" s="312" customFormat="1" ht="14.25" customHeight="1">
      <c r="A21" s="253" t="s">
        <v>55</v>
      </c>
      <c r="B21" s="254" t="s">
        <v>56</v>
      </c>
      <c r="C21" s="255">
        <v>14</v>
      </c>
      <c r="D21" s="366">
        <v>0</v>
      </c>
      <c r="E21" s="366">
        <v>3</v>
      </c>
      <c r="F21" s="366">
        <v>0</v>
      </c>
      <c r="G21" s="366">
        <v>0</v>
      </c>
      <c r="H21" s="366">
        <v>0</v>
      </c>
      <c r="I21" s="366">
        <v>0</v>
      </c>
      <c r="J21" s="252">
        <f t="shared" si="0"/>
        <v>3</v>
      </c>
    </row>
    <row r="22" spans="1:10" s="312" customFormat="1" ht="14.25" customHeight="1">
      <c r="A22" s="253" t="s">
        <v>57</v>
      </c>
      <c r="B22" s="254" t="s">
        <v>58</v>
      </c>
      <c r="C22" s="255">
        <v>15</v>
      </c>
      <c r="D22" s="366">
        <v>0</v>
      </c>
      <c r="E22" s="366">
        <v>0</v>
      </c>
      <c r="F22" s="366">
        <v>3</v>
      </c>
      <c r="G22" s="366">
        <v>0</v>
      </c>
      <c r="H22" s="366">
        <v>11</v>
      </c>
      <c r="I22" s="366">
        <v>19</v>
      </c>
      <c r="J22" s="252">
        <f t="shared" si="0"/>
        <v>33</v>
      </c>
    </row>
    <row r="23" spans="1:10" s="312" customFormat="1" ht="14.25" customHeight="1">
      <c r="A23" s="253" t="s">
        <v>59</v>
      </c>
      <c r="B23" s="254" t="s">
        <v>223</v>
      </c>
      <c r="C23" s="255">
        <v>16</v>
      </c>
      <c r="D23" s="366">
        <v>9</v>
      </c>
      <c r="E23" s="366">
        <v>34</v>
      </c>
      <c r="F23" s="366">
        <v>6</v>
      </c>
      <c r="G23" s="366">
        <v>0</v>
      </c>
      <c r="H23" s="366">
        <v>381</v>
      </c>
      <c r="I23" s="366">
        <v>15</v>
      </c>
      <c r="J23" s="252">
        <f t="shared" si="0"/>
        <v>445</v>
      </c>
    </row>
    <row r="24" spans="1:10" s="312" customFormat="1" ht="14.25" customHeight="1">
      <c r="A24" s="253" t="s">
        <v>60</v>
      </c>
      <c r="B24" s="254" t="s">
        <v>61</v>
      </c>
      <c r="C24" s="255">
        <v>17</v>
      </c>
      <c r="D24" s="366">
        <v>4</v>
      </c>
      <c r="E24" s="366">
        <v>0</v>
      </c>
      <c r="F24" s="366">
        <v>0</v>
      </c>
      <c r="G24" s="366">
        <v>1</v>
      </c>
      <c r="H24" s="366">
        <v>0</v>
      </c>
      <c r="I24" s="366">
        <v>0</v>
      </c>
      <c r="J24" s="252">
        <f t="shared" si="0"/>
        <v>5</v>
      </c>
    </row>
    <row r="25" spans="1:10" s="312" customFormat="1" ht="14.25" customHeight="1">
      <c r="A25" s="253" t="s">
        <v>62</v>
      </c>
      <c r="B25" s="254" t="s">
        <v>224</v>
      </c>
      <c r="C25" s="255">
        <v>18</v>
      </c>
      <c r="D25" s="366">
        <v>0</v>
      </c>
      <c r="E25" s="366">
        <v>54</v>
      </c>
      <c r="F25" s="366">
        <v>0</v>
      </c>
      <c r="G25" s="366">
        <v>0</v>
      </c>
      <c r="H25" s="366">
        <v>0</v>
      </c>
      <c r="I25" s="366">
        <v>9</v>
      </c>
      <c r="J25" s="252">
        <f t="shared" si="0"/>
        <v>63</v>
      </c>
    </row>
    <row r="26" spans="1:10" s="312" customFormat="1" ht="14.25" customHeight="1">
      <c r="A26" s="253" t="s">
        <v>63</v>
      </c>
      <c r="B26" s="254" t="s">
        <v>67</v>
      </c>
      <c r="C26" s="255">
        <v>19</v>
      </c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252">
        <f t="shared" si="0"/>
        <v>0</v>
      </c>
    </row>
    <row r="27" spans="1:10" s="312" customFormat="1" ht="14.25" customHeight="1">
      <c r="A27" s="253" t="s">
        <v>64</v>
      </c>
      <c r="B27" s="254" t="s">
        <v>71</v>
      </c>
      <c r="C27" s="255">
        <v>20</v>
      </c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252">
        <f t="shared" si="0"/>
        <v>0</v>
      </c>
    </row>
    <row r="28" spans="1:10" s="312" customFormat="1" ht="14.25" customHeight="1">
      <c r="A28" s="253">
        <v>547</v>
      </c>
      <c r="B28" s="254" t="s">
        <v>68</v>
      </c>
      <c r="C28" s="255">
        <v>21</v>
      </c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252">
        <f t="shared" si="0"/>
        <v>0</v>
      </c>
    </row>
    <row r="29" spans="1:10" s="312" customFormat="1" ht="14.25" customHeight="1">
      <c r="A29" s="253">
        <v>548</v>
      </c>
      <c r="B29" s="254" t="s">
        <v>225</v>
      </c>
      <c r="C29" s="255">
        <v>22</v>
      </c>
      <c r="D29" s="366">
        <v>404</v>
      </c>
      <c r="E29" s="366">
        <v>0</v>
      </c>
      <c r="F29" s="366">
        <v>0</v>
      </c>
      <c r="G29" s="366">
        <v>0</v>
      </c>
      <c r="H29" s="366">
        <v>106</v>
      </c>
      <c r="I29" s="366">
        <v>0</v>
      </c>
      <c r="J29" s="252">
        <f t="shared" si="0"/>
        <v>510</v>
      </c>
    </row>
    <row r="30" spans="1:10" s="312" customFormat="1" ht="14.25" customHeight="1">
      <c r="A30" s="253" t="s">
        <v>69</v>
      </c>
      <c r="B30" s="254" t="s">
        <v>226</v>
      </c>
      <c r="C30" s="255">
        <v>23</v>
      </c>
      <c r="D30" s="366">
        <v>0</v>
      </c>
      <c r="E30" s="366">
        <v>2116</v>
      </c>
      <c r="F30" s="366">
        <v>2324</v>
      </c>
      <c r="G30" s="366">
        <v>883</v>
      </c>
      <c r="H30" s="366">
        <v>3389</v>
      </c>
      <c r="I30" s="366">
        <v>550</v>
      </c>
      <c r="J30" s="252">
        <f t="shared" si="0"/>
        <v>9262</v>
      </c>
    </row>
    <row r="31" spans="1:10" s="312" customFormat="1" ht="14.25" customHeight="1">
      <c r="A31" s="253" t="s">
        <v>70</v>
      </c>
      <c r="B31" s="254" t="s">
        <v>227</v>
      </c>
      <c r="C31" s="255">
        <v>24</v>
      </c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252">
        <f t="shared" si="0"/>
        <v>0</v>
      </c>
    </row>
    <row r="32" spans="1:10" s="312" customFormat="1" ht="14.25" customHeight="1">
      <c r="A32" s="253">
        <v>553</v>
      </c>
      <c r="B32" s="254" t="s">
        <v>228</v>
      </c>
      <c r="C32" s="255">
        <v>25</v>
      </c>
      <c r="D32" s="366">
        <v>0</v>
      </c>
      <c r="E32" s="366">
        <v>0</v>
      </c>
      <c r="F32" s="366">
        <v>0</v>
      </c>
      <c r="G32" s="366">
        <v>0</v>
      </c>
      <c r="H32" s="366">
        <v>231</v>
      </c>
      <c r="I32" s="366">
        <v>0</v>
      </c>
      <c r="J32" s="252">
        <f t="shared" si="0"/>
        <v>231</v>
      </c>
    </row>
    <row r="33" spans="1:10" s="312" customFormat="1" ht="14.25" customHeight="1">
      <c r="A33" s="253">
        <v>554</v>
      </c>
      <c r="B33" s="254" t="s">
        <v>229</v>
      </c>
      <c r="C33" s="255">
        <v>26</v>
      </c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252">
        <f t="shared" si="0"/>
        <v>0</v>
      </c>
    </row>
    <row r="34" spans="1:10" s="312" customFormat="1" ht="14.25" customHeight="1">
      <c r="A34" s="253">
        <v>555</v>
      </c>
      <c r="B34" s="254" t="s">
        <v>230</v>
      </c>
      <c r="C34" s="255">
        <v>27</v>
      </c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252">
        <f t="shared" si="0"/>
        <v>0</v>
      </c>
    </row>
    <row r="35" spans="1:10" s="312" customFormat="1" ht="14.25" customHeight="1">
      <c r="A35" s="253">
        <v>556</v>
      </c>
      <c r="B35" s="254" t="s">
        <v>231</v>
      </c>
      <c r="C35" s="255">
        <v>28</v>
      </c>
      <c r="D35" s="366">
        <v>14</v>
      </c>
      <c r="E35" s="366">
        <v>0</v>
      </c>
      <c r="F35" s="366">
        <v>0</v>
      </c>
      <c r="G35" s="366">
        <v>0</v>
      </c>
      <c r="H35" s="366">
        <v>77</v>
      </c>
      <c r="I35" s="366">
        <v>0</v>
      </c>
      <c r="J35" s="252">
        <f t="shared" si="0"/>
        <v>91</v>
      </c>
    </row>
    <row r="36" spans="1:10" s="312" customFormat="1" ht="14.25" customHeight="1">
      <c r="A36" s="253">
        <v>557</v>
      </c>
      <c r="B36" s="254" t="s">
        <v>232</v>
      </c>
      <c r="C36" s="255">
        <v>29</v>
      </c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252">
        <f t="shared" si="0"/>
        <v>0</v>
      </c>
    </row>
    <row r="37" spans="1:10" s="312" customFormat="1" ht="14.25" customHeight="1">
      <c r="A37" s="256">
        <v>549</v>
      </c>
      <c r="B37" s="257" t="s">
        <v>233</v>
      </c>
      <c r="C37" s="258">
        <v>30</v>
      </c>
      <c r="D37" s="367">
        <v>586</v>
      </c>
      <c r="E37" s="367">
        <v>12</v>
      </c>
      <c r="F37" s="367">
        <v>579</v>
      </c>
      <c r="G37" s="367">
        <v>210</v>
      </c>
      <c r="H37" s="367">
        <v>1179</v>
      </c>
      <c r="I37" s="367">
        <v>100</v>
      </c>
      <c r="J37" s="252">
        <f t="shared" si="0"/>
        <v>2666</v>
      </c>
    </row>
    <row r="38" spans="1:10" s="312" customFormat="1" ht="14.25" customHeight="1">
      <c r="A38" s="256">
        <v>562</v>
      </c>
      <c r="B38" s="257" t="s">
        <v>65</v>
      </c>
      <c r="C38" s="258">
        <v>31</v>
      </c>
      <c r="D38" s="367">
        <v>0</v>
      </c>
      <c r="E38" s="367">
        <v>0</v>
      </c>
      <c r="F38" s="367">
        <v>0</v>
      </c>
      <c r="G38" s="367">
        <v>0</v>
      </c>
      <c r="H38" s="367">
        <v>0</v>
      </c>
      <c r="I38" s="367">
        <v>0</v>
      </c>
      <c r="J38" s="252">
        <f t="shared" si="0"/>
        <v>0</v>
      </c>
    </row>
    <row r="39" spans="1:10" s="312" customFormat="1" ht="14.25" customHeight="1">
      <c r="A39" s="256">
        <v>563</v>
      </c>
      <c r="B39" s="257" t="s">
        <v>66</v>
      </c>
      <c r="C39" s="258">
        <v>32</v>
      </c>
      <c r="D39" s="367">
        <v>0</v>
      </c>
      <c r="E39" s="367">
        <v>0</v>
      </c>
      <c r="F39" s="367">
        <v>139</v>
      </c>
      <c r="G39" s="367">
        <v>0</v>
      </c>
      <c r="H39" s="367">
        <v>0</v>
      </c>
      <c r="I39" s="367">
        <v>0</v>
      </c>
      <c r="J39" s="252">
        <f t="shared" si="0"/>
        <v>139</v>
      </c>
    </row>
    <row r="40" spans="1:10" s="312" customFormat="1" ht="14.25" customHeight="1">
      <c r="A40" s="256">
        <v>564</v>
      </c>
      <c r="B40" s="257" t="s">
        <v>234</v>
      </c>
      <c r="C40" s="258">
        <v>33</v>
      </c>
      <c r="D40" s="367">
        <v>0</v>
      </c>
      <c r="E40" s="367">
        <v>0</v>
      </c>
      <c r="F40" s="367">
        <v>0</v>
      </c>
      <c r="G40" s="367">
        <v>0</v>
      </c>
      <c r="H40" s="367">
        <v>0</v>
      </c>
      <c r="I40" s="367">
        <v>0</v>
      </c>
      <c r="J40" s="252">
        <f t="shared" si="0"/>
        <v>0</v>
      </c>
    </row>
    <row r="41" spans="1:10" s="312" customFormat="1" ht="14.25" customHeight="1">
      <c r="A41" s="256">
        <v>569</v>
      </c>
      <c r="B41" s="257" t="s">
        <v>235</v>
      </c>
      <c r="C41" s="258">
        <v>34</v>
      </c>
      <c r="D41" s="367">
        <v>0</v>
      </c>
      <c r="E41" s="367">
        <v>4</v>
      </c>
      <c r="F41" s="367">
        <v>0</v>
      </c>
      <c r="G41" s="367">
        <v>0</v>
      </c>
      <c r="H41" s="367">
        <v>162</v>
      </c>
      <c r="I41" s="367">
        <v>0</v>
      </c>
      <c r="J41" s="252">
        <f t="shared" si="0"/>
        <v>166</v>
      </c>
    </row>
    <row r="42" spans="1:10" s="312" customFormat="1" ht="14.25" customHeight="1">
      <c r="A42" s="256">
        <v>571</v>
      </c>
      <c r="B42" s="257" t="s">
        <v>236</v>
      </c>
      <c r="C42" s="258">
        <v>35</v>
      </c>
      <c r="D42" s="367">
        <v>0</v>
      </c>
      <c r="E42" s="367">
        <v>0</v>
      </c>
      <c r="F42" s="367">
        <v>0</v>
      </c>
      <c r="G42" s="367">
        <v>0</v>
      </c>
      <c r="H42" s="367">
        <v>0</v>
      </c>
      <c r="I42" s="367">
        <v>0</v>
      </c>
      <c r="J42" s="252">
        <f t="shared" si="0"/>
        <v>0</v>
      </c>
    </row>
    <row r="43" spans="1:10" s="312" customFormat="1" ht="14.25" customHeight="1">
      <c r="A43" s="256">
        <v>572</v>
      </c>
      <c r="B43" s="257" t="s">
        <v>237</v>
      </c>
      <c r="C43" s="258">
        <v>36</v>
      </c>
      <c r="D43" s="367">
        <v>0</v>
      </c>
      <c r="E43" s="367">
        <v>0</v>
      </c>
      <c r="F43" s="367">
        <v>0</v>
      </c>
      <c r="G43" s="367">
        <v>0</v>
      </c>
      <c r="H43" s="367">
        <v>0</v>
      </c>
      <c r="I43" s="367">
        <v>0</v>
      </c>
      <c r="J43" s="252">
        <f t="shared" si="0"/>
        <v>0</v>
      </c>
    </row>
    <row r="44" spans="1:10" s="312" customFormat="1" ht="14.25" customHeight="1" thickBot="1">
      <c r="A44" s="256">
        <v>574</v>
      </c>
      <c r="B44" s="257" t="s">
        <v>238</v>
      </c>
      <c r="C44" s="258">
        <v>37</v>
      </c>
      <c r="D44" s="367">
        <v>0</v>
      </c>
      <c r="E44" s="367">
        <v>0</v>
      </c>
      <c r="F44" s="367">
        <v>0</v>
      </c>
      <c r="G44" s="367">
        <v>0</v>
      </c>
      <c r="H44" s="367">
        <v>0</v>
      </c>
      <c r="I44" s="367">
        <v>0</v>
      </c>
      <c r="J44" s="252">
        <f t="shared" si="0"/>
        <v>0</v>
      </c>
    </row>
    <row r="45" spans="1:10" s="312" customFormat="1" ht="14.25" customHeight="1" thickBot="1">
      <c r="A45" s="259"/>
      <c r="B45" s="260" t="s">
        <v>239</v>
      </c>
      <c r="C45" s="261">
        <v>38</v>
      </c>
      <c r="D45" s="368">
        <f aca="true" t="shared" si="1" ref="D45:I45">SUM(D8:D44)</f>
        <v>110650</v>
      </c>
      <c r="E45" s="368">
        <f t="shared" si="1"/>
        <v>9145</v>
      </c>
      <c r="F45" s="368">
        <f t="shared" si="1"/>
        <v>217678</v>
      </c>
      <c r="G45" s="368">
        <f t="shared" si="1"/>
        <v>63076</v>
      </c>
      <c r="H45" s="368">
        <f t="shared" si="1"/>
        <v>137063</v>
      </c>
      <c r="I45" s="368">
        <f t="shared" si="1"/>
        <v>6562</v>
      </c>
      <c r="J45" s="368">
        <f>D45+E45+F45+G45+H45+I45</f>
        <v>544174</v>
      </c>
    </row>
    <row r="46" spans="1:10" s="312" customFormat="1" ht="14.25" customHeight="1">
      <c r="A46" s="249" t="s">
        <v>72</v>
      </c>
      <c r="B46" s="250" t="s">
        <v>240</v>
      </c>
      <c r="C46" s="251">
        <v>39</v>
      </c>
      <c r="D46" s="365">
        <v>180</v>
      </c>
      <c r="E46" s="365">
        <v>0</v>
      </c>
      <c r="F46" s="365">
        <v>0</v>
      </c>
      <c r="G46" s="365">
        <v>0</v>
      </c>
      <c r="H46" s="365">
        <v>0</v>
      </c>
      <c r="I46" s="365">
        <v>0</v>
      </c>
      <c r="J46" s="252">
        <f t="shared" si="0"/>
        <v>180</v>
      </c>
    </row>
    <row r="47" spans="1:10" s="312" customFormat="1" ht="14.25" customHeight="1">
      <c r="A47" s="253" t="s">
        <v>73</v>
      </c>
      <c r="B47" s="254" t="s">
        <v>241</v>
      </c>
      <c r="C47" s="255">
        <v>40</v>
      </c>
      <c r="D47" s="366">
        <v>3181</v>
      </c>
      <c r="E47" s="366">
        <v>1664</v>
      </c>
      <c r="F47" s="366">
        <v>2034</v>
      </c>
      <c r="G47" s="366">
        <v>34</v>
      </c>
      <c r="H47" s="366">
        <v>16750</v>
      </c>
      <c r="I47" s="366">
        <v>1704</v>
      </c>
      <c r="J47" s="252">
        <f t="shared" si="0"/>
        <v>25367</v>
      </c>
    </row>
    <row r="48" spans="1:10" s="312" customFormat="1" ht="14.25" customHeight="1">
      <c r="A48" s="253">
        <v>603</v>
      </c>
      <c r="B48" s="254" t="s">
        <v>242</v>
      </c>
      <c r="C48" s="255">
        <v>41</v>
      </c>
      <c r="D48" s="366">
        <v>189</v>
      </c>
      <c r="E48" s="366">
        <v>0</v>
      </c>
      <c r="F48" s="366">
        <v>614</v>
      </c>
      <c r="G48" s="366">
        <v>0</v>
      </c>
      <c r="H48" s="366">
        <v>0</v>
      </c>
      <c r="I48" s="366">
        <v>0</v>
      </c>
      <c r="J48" s="252">
        <f t="shared" si="0"/>
        <v>803</v>
      </c>
    </row>
    <row r="49" spans="1:10" s="312" customFormat="1" ht="14.25" customHeight="1">
      <c r="A49" s="253" t="s">
        <v>74</v>
      </c>
      <c r="B49" s="254" t="s">
        <v>243</v>
      </c>
      <c r="C49" s="255">
        <v>42</v>
      </c>
      <c r="D49" s="366">
        <v>0</v>
      </c>
      <c r="E49" s="366">
        <v>698</v>
      </c>
      <c r="F49" s="366">
        <v>89</v>
      </c>
      <c r="G49" s="366">
        <v>0</v>
      </c>
      <c r="H49" s="366">
        <v>0</v>
      </c>
      <c r="I49" s="366">
        <v>0</v>
      </c>
      <c r="J49" s="252">
        <f t="shared" si="0"/>
        <v>787</v>
      </c>
    </row>
    <row r="50" spans="1:10" s="312" customFormat="1" ht="14.25" customHeight="1">
      <c r="A50" s="253">
        <v>609</v>
      </c>
      <c r="B50" s="254" t="s">
        <v>244</v>
      </c>
      <c r="C50" s="255">
        <v>43</v>
      </c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252">
        <f t="shared" si="0"/>
        <v>0</v>
      </c>
    </row>
    <row r="51" spans="1:10" s="312" customFormat="1" ht="14.25" customHeight="1">
      <c r="A51" s="253" t="s">
        <v>75</v>
      </c>
      <c r="B51" s="254" t="s">
        <v>76</v>
      </c>
      <c r="C51" s="255">
        <v>44</v>
      </c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252">
        <f t="shared" si="0"/>
        <v>0</v>
      </c>
    </row>
    <row r="52" spans="1:10" s="312" customFormat="1" ht="14.25" customHeight="1">
      <c r="A52" s="253" t="s">
        <v>77</v>
      </c>
      <c r="B52" s="254" t="s">
        <v>78</v>
      </c>
      <c r="C52" s="255">
        <v>45</v>
      </c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252">
        <f t="shared" si="0"/>
        <v>0</v>
      </c>
    </row>
    <row r="53" spans="1:10" s="312" customFormat="1" ht="14.25" customHeight="1">
      <c r="A53" s="253" t="s">
        <v>79</v>
      </c>
      <c r="B53" s="254" t="s">
        <v>80</v>
      </c>
      <c r="C53" s="255">
        <v>46</v>
      </c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252">
        <f t="shared" si="0"/>
        <v>0</v>
      </c>
    </row>
    <row r="54" spans="1:10" s="312" customFormat="1" ht="14.25" customHeight="1">
      <c r="A54" s="253" t="s">
        <v>81</v>
      </c>
      <c r="B54" s="254" t="s">
        <v>245</v>
      </c>
      <c r="C54" s="255">
        <v>47</v>
      </c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252">
        <f t="shared" si="0"/>
        <v>0</v>
      </c>
    </row>
    <row r="55" spans="1:10" s="312" customFormat="1" ht="14.25" customHeight="1">
      <c r="A55" s="253" t="s">
        <v>82</v>
      </c>
      <c r="B55" s="254" t="s">
        <v>83</v>
      </c>
      <c r="C55" s="255">
        <v>48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252">
        <f t="shared" si="0"/>
        <v>0</v>
      </c>
    </row>
    <row r="56" spans="1:10" s="312" customFormat="1" ht="14.25" customHeight="1">
      <c r="A56" s="253" t="s">
        <v>84</v>
      </c>
      <c r="B56" s="254" t="s">
        <v>85</v>
      </c>
      <c r="C56" s="255">
        <v>49</v>
      </c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252">
        <f t="shared" si="0"/>
        <v>0</v>
      </c>
    </row>
    <row r="57" spans="1:10" s="312" customFormat="1" ht="14.25" customHeight="1">
      <c r="A57" s="253" t="s">
        <v>86</v>
      </c>
      <c r="B57" s="254" t="s">
        <v>87</v>
      </c>
      <c r="C57" s="255">
        <v>50</v>
      </c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252">
        <f t="shared" si="0"/>
        <v>0</v>
      </c>
    </row>
    <row r="58" spans="1:10" s="312" customFormat="1" ht="14.25" customHeight="1">
      <c r="A58" s="253" t="s">
        <v>88</v>
      </c>
      <c r="B58" s="254" t="s">
        <v>89</v>
      </c>
      <c r="C58" s="255">
        <v>51</v>
      </c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252">
        <f t="shared" si="0"/>
        <v>0</v>
      </c>
    </row>
    <row r="59" spans="1:10" s="312" customFormat="1" ht="14.25" customHeight="1">
      <c r="A59" s="253" t="s">
        <v>90</v>
      </c>
      <c r="B59" s="254" t="s">
        <v>61</v>
      </c>
      <c r="C59" s="255">
        <v>52</v>
      </c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252">
        <f t="shared" si="0"/>
        <v>0</v>
      </c>
    </row>
    <row r="60" spans="1:10" s="312" customFormat="1" ht="14.25" customHeight="1">
      <c r="A60" s="253" t="s">
        <v>91</v>
      </c>
      <c r="B60" s="254" t="s">
        <v>224</v>
      </c>
      <c r="C60" s="255">
        <v>53</v>
      </c>
      <c r="D60" s="366">
        <v>0</v>
      </c>
      <c r="E60" s="366">
        <v>0</v>
      </c>
      <c r="F60" s="366">
        <v>0</v>
      </c>
      <c r="G60" s="366">
        <v>0</v>
      </c>
      <c r="H60" s="366">
        <v>4</v>
      </c>
      <c r="I60" s="366">
        <v>0</v>
      </c>
      <c r="J60" s="252">
        <f t="shared" si="0"/>
        <v>4</v>
      </c>
    </row>
    <row r="61" spans="1:10" s="312" customFormat="1" ht="14.25" customHeight="1">
      <c r="A61" s="253" t="s">
        <v>92</v>
      </c>
      <c r="B61" s="254" t="s">
        <v>246</v>
      </c>
      <c r="C61" s="255">
        <v>54</v>
      </c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252">
        <f t="shared" si="0"/>
        <v>0</v>
      </c>
    </row>
    <row r="62" spans="1:10" s="312" customFormat="1" ht="14.25" customHeight="1">
      <c r="A62" s="253" t="s">
        <v>93</v>
      </c>
      <c r="B62" s="254" t="s">
        <v>247</v>
      </c>
      <c r="C62" s="255">
        <v>55</v>
      </c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252">
        <f t="shared" si="0"/>
        <v>0</v>
      </c>
    </row>
    <row r="63" spans="1:10" s="312" customFormat="1" ht="14.25" customHeight="1">
      <c r="A63" s="253" t="s">
        <v>94</v>
      </c>
      <c r="B63" s="254" t="s">
        <v>248</v>
      </c>
      <c r="C63" s="255">
        <v>56</v>
      </c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252">
        <f t="shared" si="0"/>
        <v>0</v>
      </c>
    </row>
    <row r="64" spans="1:10" s="312" customFormat="1" ht="14.25" customHeight="1">
      <c r="A64" s="253">
        <v>646</v>
      </c>
      <c r="B64" s="254" t="s">
        <v>249</v>
      </c>
      <c r="C64" s="255">
        <v>57</v>
      </c>
      <c r="D64" s="366">
        <v>0</v>
      </c>
      <c r="E64" s="366">
        <v>0</v>
      </c>
      <c r="F64" s="366">
        <v>50</v>
      </c>
      <c r="G64" s="366">
        <v>0</v>
      </c>
      <c r="H64" s="366">
        <v>244</v>
      </c>
      <c r="I64" s="366">
        <v>0</v>
      </c>
      <c r="J64" s="252">
        <f t="shared" si="0"/>
        <v>294</v>
      </c>
    </row>
    <row r="65" spans="1:10" s="312" customFormat="1" ht="14.25" customHeight="1">
      <c r="A65" s="253">
        <v>647</v>
      </c>
      <c r="B65" s="254" t="s">
        <v>250</v>
      </c>
      <c r="C65" s="255">
        <v>58</v>
      </c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252">
        <f t="shared" si="0"/>
        <v>0</v>
      </c>
    </row>
    <row r="66" spans="1:10" s="312" customFormat="1" ht="14.25" customHeight="1">
      <c r="A66" s="253">
        <v>648</v>
      </c>
      <c r="B66" s="254" t="s">
        <v>262</v>
      </c>
      <c r="C66" s="255">
        <v>59</v>
      </c>
      <c r="D66" s="366">
        <v>45594</v>
      </c>
      <c r="E66" s="366">
        <v>1187</v>
      </c>
      <c r="F66" s="366">
        <v>14955</v>
      </c>
      <c r="G66" s="366">
        <v>169</v>
      </c>
      <c r="H66" s="366">
        <v>4265</v>
      </c>
      <c r="I66" s="366">
        <v>190</v>
      </c>
      <c r="J66" s="252">
        <f t="shared" si="0"/>
        <v>66360</v>
      </c>
    </row>
    <row r="67" spans="1:10" s="312" customFormat="1" ht="14.25" customHeight="1">
      <c r="A67" s="253">
        <v>649</v>
      </c>
      <c r="B67" s="254" t="s">
        <v>251</v>
      </c>
      <c r="C67" s="255">
        <v>60</v>
      </c>
      <c r="D67" s="366">
        <v>2019</v>
      </c>
      <c r="E67" s="366">
        <v>302</v>
      </c>
      <c r="F67" s="366">
        <v>4094</v>
      </c>
      <c r="G67" s="366">
        <v>143</v>
      </c>
      <c r="H67" s="366">
        <v>2697</v>
      </c>
      <c r="I67" s="366">
        <v>348</v>
      </c>
      <c r="J67" s="252">
        <f t="shared" si="0"/>
        <v>9603</v>
      </c>
    </row>
    <row r="68" spans="1:10" s="312" customFormat="1" ht="14.25" customHeight="1">
      <c r="A68" s="253">
        <v>662</v>
      </c>
      <c r="B68" s="254" t="s">
        <v>65</v>
      </c>
      <c r="C68" s="255">
        <v>61</v>
      </c>
      <c r="D68" s="366">
        <v>13</v>
      </c>
      <c r="E68" s="366">
        <v>4</v>
      </c>
      <c r="F68" s="366">
        <v>486</v>
      </c>
      <c r="G68" s="366">
        <v>9</v>
      </c>
      <c r="H68" s="366">
        <v>22</v>
      </c>
      <c r="I68" s="366">
        <v>6</v>
      </c>
      <c r="J68" s="252">
        <f t="shared" si="0"/>
        <v>540</v>
      </c>
    </row>
    <row r="69" spans="1:10" s="312" customFormat="1" ht="14.25" customHeight="1">
      <c r="A69" s="253">
        <v>663</v>
      </c>
      <c r="B69" s="254" t="s">
        <v>95</v>
      </c>
      <c r="C69" s="255">
        <v>62</v>
      </c>
      <c r="D69" s="366">
        <v>0</v>
      </c>
      <c r="E69" s="366">
        <v>0</v>
      </c>
      <c r="F69" s="366">
        <v>15</v>
      </c>
      <c r="G69" s="366">
        <v>0</v>
      </c>
      <c r="H69" s="366">
        <v>0</v>
      </c>
      <c r="I69" s="366">
        <v>0</v>
      </c>
      <c r="J69" s="252">
        <f t="shared" si="0"/>
        <v>15</v>
      </c>
    </row>
    <row r="70" spans="1:10" ht="12.75">
      <c r="A70" s="253">
        <v>664</v>
      </c>
      <c r="B70" s="254" t="s">
        <v>252</v>
      </c>
      <c r="C70" s="255">
        <v>63</v>
      </c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252">
        <f t="shared" si="0"/>
        <v>0</v>
      </c>
    </row>
    <row r="71" spans="1:10" ht="12.75">
      <c r="A71" s="253">
        <v>669</v>
      </c>
      <c r="B71" s="254" t="s">
        <v>253</v>
      </c>
      <c r="C71" s="255">
        <v>64</v>
      </c>
      <c r="D71" s="367">
        <v>0</v>
      </c>
      <c r="E71" s="367">
        <v>0</v>
      </c>
      <c r="F71" s="367">
        <v>0</v>
      </c>
      <c r="G71" s="367">
        <v>0</v>
      </c>
      <c r="H71" s="367">
        <v>0</v>
      </c>
      <c r="I71" s="367">
        <v>0</v>
      </c>
      <c r="J71" s="252">
        <f t="shared" si="0"/>
        <v>0</v>
      </c>
    </row>
    <row r="72" spans="1:10" ht="12.75">
      <c r="A72" s="253">
        <v>671</v>
      </c>
      <c r="B72" s="254" t="s">
        <v>254</v>
      </c>
      <c r="C72" s="255">
        <v>65</v>
      </c>
      <c r="D72" s="367">
        <v>60224</v>
      </c>
      <c r="E72" s="367">
        <v>5145</v>
      </c>
      <c r="F72" s="367">
        <v>195744</v>
      </c>
      <c r="G72" s="367">
        <v>64393</v>
      </c>
      <c r="H72" s="367">
        <v>109292</v>
      </c>
      <c r="I72" s="367">
        <v>2250</v>
      </c>
      <c r="J72" s="252">
        <f t="shared" si="0"/>
        <v>437048</v>
      </c>
    </row>
    <row r="73" spans="1:10" ht="12.75">
      <c r="A73" s="253">
        <v>672</v>
      </c>
      <c r="B73" s="254" t="s">
        <v>255</v>
      </c>
      <c r="C73" s="255">
        <v>66</v>
      </c>
      <c r="D73" s="367">
        <v>0</v>
      </c>
      <c r="E73" s="367">
        <v>0</v>
      </c>
      <c r="F73" s="367">
        <v>0</v>
      </c>
      <c r="G73" s="367">
        <v>0</v>
      </c>
      <c r="H73" s="367">
        <v>4975</v>
      </c>
      <c r="I73" s="367">
        <v>2033</v>
      </c>
      <c r="J73" s="252">
        <f aca="true" t="shared" si="2" ref="J73:J80">D73+E73+F73+G73+H73+I73</f>
        <v>7008</v>
      </c>
    </row>
    <row r="74" spans="1:10" ht="12.75">
      <c r="A74" s="253">
        <v>673</v>
      </c>
      <c r="B74" s="254" t="s">
        <v>256</v>
      </c>
      <c r="C74" s="255">
        <v>67</v>
      </c>
      <c r="D74" s="367">
        <v>0</v>
      </c>
      <c r="E74" s="367">
        <v>0</v>
      </c>
      <c r="F74" s="367">
        <v>0</v>
      </c>
      <c r="G74" s="367">
        <v>0</v>
      </c>
      <c r="H74" s="367">
        <v>0</v>
      </c>
      <c r="I74" s="367">
        <v>0</v>
      </c>
      <c r="J74" s="252">
        <f t="shared" si="2"/>
        <v>0</v>
      </c>
    </row>
    <row r="75" spans="1:10" ht="13.5" thickBot="1">
      <c r="A75" s="256">
        <v>674</v>
      </c>
      <c r="B75" s="257" t="s">
        <v>257</v>
      </c>
      <c r="C75" s="258">
        <v>68</v>
      </c>
      <c r="D75" s="367">
        <v>0</v>
      </c>
      <c r="E75" s="367">
        <v>0</v>
      </c>
      <c r="F75" s="367">
        <v>0</v>
      </c>
      <c r="G75" s="367">
        <v>0</v>
      </c>
      <c r="H75" s="367">
        <v>0</v>
      </c>
      <c r="I75" s="367">
        <v>0</v>
      </c>
      <c r="J75" s="252">
        <f t="shared" si="2"/>
        <v>0</v>
      </c>
    </row>
    <row r="76" spans="1:10" ht="13.5" thickBot="1">
      <c r="A76" s="259"/>
      <c r="B76" s="260" t="s">
        <v>258</v>
      </c>
      <c r="C76" s="261">
        <v>70</v>
      </c>
      <c r="D76" s="368">
        <f aca="true" t="shared" si="3" ref="D76:I76">SUM(D46:D75)</f>
        <v>111400</v>
      </c>
      <c r="E76" s="368">
        <f t="shared" si="3"/>
        <v>9000</v>
      </c>
      <c r="F76" s="368">
        <f t="shared" si="3"/>
        <v>218081</v>
      </c>
      <c r="G76" s="368">
        <f t="shared" si="3"/>
        <v>64748</v>
      </c>
      <c r="H76" s="368">
        <f t="shared" si="3"/>
        <v>138249</v>
      </c>
      <c r="I76" s="368">
        <f t="shared" si="3"/>
        <v>6531</v>
      </c>
      <c r="J76" s="368">
        <f t="shared" si="2"/>
        <v>548009</v>
      </c>
    </row>
    <row r="77" spans="1:10" ht="13.5" thickBot="1">
      <c r="A77" s="262"/>
      <c r="B77" s="263" t="s">
        <v>259</v>
      </c>
      <c r="C77" s="264">
        <v>71</v>
      </c>
      <c r="D77" s="369">
        <f aca="true" t="shared" si="4" ref="D77:I77">D76-D45</f>
        <v>750</v>
      </c>
      <c r="E77" s="369">
        <f t="shared" si="4"/>
        <v>-145</v>
      </c>
      <c r="F77" s="369">
        <f t="shared" si="4"/>
        <v>403</v>
      </c>
      <c r="G77" s="369">
        <f t="shared" si="4"/>
        <v>1672</v>
      </c>
      <c r="H77" s="369">
        <f t="shared" si="4"/>
        <v>1186</v>
      </c>
      <c r="I77" s="369">
        <f t="shared" si="4"/>
        <v>-31</v>
      </c>
      <c r="J77" s="369">
        <f t="shared" si="2"/>
        <v>3835</v>
      </c>
    </row>
    <row r="78" spans="1:10" ht="12.75">
      <c r="A78" s="249" t="s">
        <v>96</v>
      </c>
      <c r="B78" s="250" t="s">
        <v>97</v>
      </c>
      <c r="C78" s="251">
        <v>72</v>
      </c>
      <c r="D78" s="365">
        <v>0</v>
      </c>
      <c r="E78" s="365">
        <v>0</v>
      </c>
      <c r="F78" s="365">
        <v>76</v>
      </c>
      <c r="G78" s="365">
        <v>0</v>
      </c>
      <c r="H78" s="365">
        <v>103</v>
      </c>
      <c r="I78" s="365">
        <v>0</v>
      </c>
      <c r="J78" s="365">
        <f t="shared" si="2"/>
        <v>179</v>
      </c>
    </row>
    <row r="79" spans="1:10" ht="12.75">
      <c r="A79" s="253" t="s">
        <v>98</v>
      </c>
      <c r="B79" s="254" t="s">
        <v>99</v>
      </c>
      <c r="C79" s="255">
        <v>73</v>
      </c>
      <c r="D79" s="366">
        <v>0</v>
      </c>
      <c r="E79" s="366">
        <v>0</v>
      </c>
      <c r="F79" s="366">
        <v>0</v>
      </c>
      <c r="G79" s="366">
        <v>0</v>
      </c>
      <c r="H79" s="366">
        <v>0</v>
      </c>
      <c r="I79" s="366">
        <v>0</v>
      </c>
      <c r="J79" s="365">
        <f t="shared" si="2"/>
        <v>0</v>
      </c>
    </row>
    <row r="80" spans="1:10" ht="13.5" thickBot="1">
      <c r="A80" s="265"/>
      <c r="B80" s="266" t="s">
        <v>260</v>
      </c>
      <c r="C80" s="267">
        <v>74</v>
      </c>
      <c r="D80" s="370">
        <f aca="true" t="shared" si="5" ref="D80:I80">D77-D78-D79</f>
        <v>750</v>
      </c>
      <c r="E80" s="370">
        <f t="shared" si="5"/>
        <v>-145</v>
      </c>
      <c r="F80" s="370">
        <f t="shared" si="5"/>
        <v>327</v>
      </c>
      <c r="G80" s="370">
        <f t="shared" si="5"/>
        <v>1672</v>
      </c>
      <c r="H80" s="370">
        <f t="shared" si="5"/>
        <v>1083</v>
      </c>
      <c r="I80" s="370">
        <f t="shared" si="5"/>
        <v>-31</v>
      </c>
      <c r="J80" s="370">
        <f t="shared" si="2"/>
        <v>3656</v>
      </c>
    </row>
    <row r="84" spans="4:8" ht="12.75">
      <c r="D84" s="396"/>
      <c r="E84" s="396"/>
      <c r="F84" s="396"/>
      <c r="G84" s="396"/>
      <c r="H84" s="396"/>
    </row>
  </sheetData>
  <sheetProtection/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0"/>
  <sheetViews>
    <sheetView zoomScale="75" zoomScaleNormal="7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2" sqref="E62"/>
    </sheetView>
  </sheetViews>
  <sheetFormatPr defaultColWidth="9.140625" defaultRowHeight="12.75"/>
  <cols>
    <col min="1" max="1" width="6.7109375" style="92" customWidth="1"/>
    <col min="2" max="2" width="43.00390625" style="92" customWidth="1"/>
    <col min="3" max="3" width="6.421875" style="92" bestFit="1" customWidth="1"/>
    <col min="4" max="4" width="7.28125" style="92" customWidth="1"/>
    <col min="5" max="6" width="9.140625" style="92" customWidth="1"/>
    <col min="7" max="8" width="7.28125" style="92" customWidth="1"/>
    <col min="9" max="9" width="10.421875" style="92" customWidth="1"/>
    <col min="10" max="10" width="9.7109375" style="92" customWidth="1"/>
    <col min="11" max="16384" width="9.140625" style="92" customWidth="1"/>
  </cols>
  <sheetData>
    <row r="1" spans="1:10" ht="15.75">
      <c r="A1" s="87"/>
      <c r="B1" s="88"/>
      <c r="C1" s="89"/>
      <c r="D1" s="89"/>
      <c r="E1" s="89"/>
      <c r="F1" s="90"/>
      <c r="G1" s="89"/>
      <c r="H1" s="89"/>
      <c r="I1" s="91"/>
      <c r="J1" s="91"/>
    </row>
    <row r="2" spans="1:10" ht="15.75">
      <c r="A2" s="93" t="s">
        <v>216</v>
      </c>
      <c r="B2" s="88"/>
      <c r="C2" s="88"/>
      <c r="D2" s="88"/>
      <c r="E2" s="88"/>
      <c r="F2" s="90"/>
      <c r="G2" s="88"/>
      <c r="H2" s="88"/>
      <c r="I2" s="94"/>
      <c r="J2" s="94"/>
    </row>
    <row r="3" spans="1:8" ht="15.75">
      <c r="A3" s="93"/>
      <c r="B3" s="93"/>
      <c r="C3" s="93"/>
      <c r="D3" s="93"/>
      <c r="E3" s="93"/>
      <c r="F3" s="95"/>
      <c r="G3" s="93"/>
      <c r="H3" s="93"/>
    </row>
    <row r="4" ht="15.75">
      <c r="J4" s="96" t="s">
        <v>178</v>
      </c>
    </row>
    <row r="5" spans="1:10" ht="12.7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16.5" thickBot="1">
      <c r="A6" s="98"/>
      <c r="B6" s="98"/>
      <c r="C6" s="98"/>
      <c r="D6" s="98"/>
      <c r="E6" s="98"/>
      <c r="F6" s="98"/>
      <c r="G6" s="98"/>
      <c r="H6" s="98"/>
      <c r="I6" s="98"/>
      <c r="J6" s="99" t="s">
        <v>26</v>
      </c>
    </row>
    <row r="7" spans="1:10" ht="13.5" thickBot="1">
      <c r="A7" s="244" t="s">
        <v>27</v>
      </c>
      <c r="B7" s="245" t="s">
        <v>28</v>
      </c>
      <c r="C7" s="246" t="s">
        <v>29</v>
      </c>
      <c r="D7" s="247" t="s">
        <v>100</v>
      </c>
      <c r="E7" s="247" t="s">
        <v>30</v>
      </c>
      <c r="F7" s="247" t="s">
        <v>174</v>
      </c>
      <c r="G7" s="247" t="s">
        <v>175</v>
      </c>
      <c r="H7" s="247" t="s">
        <v>101</v>
      </c>
      <c r="I7" s="247" t="s">
        <v>31</v>
      </c>
      <c r="J7" s="248" t="s">
        <v>102</v>
      </c>
    </row>
    <row r="8" spans="1:10" ht="12.75">
      <c r="A8" s="249" t="s">
        <v>32</v>
      </c>
      <c r="B8" s="250" t="s">
        <v>33</v>
      </c>
      <c r="C8" s="251">
        <v>1</v>
      </c>
      <c r="D8" s="371">
        <v>0</v>
      </c>
      <c r="E8" s="371">
        <v>552</v>
      </c>
      <c r="F8" s="371">
        <v>10</v>
      </c>
      <c r="G8" s="371">
        <v>3</v>
      </c>
      <c r="H8" s="371">
        <v>0</v>
      </c>
      <c r="I8" s="371">
        <v>607</v>
      </c>
      <c r="J8" s="252">
        <f>D8+E8+F8+G8+H8+I8</f>
        <v>1172</v>
      </c>
    </row>
    <row r="9" spans="1:10" ht="12.75">
      <c r="A9" s="253" t="s">
        <v>34</v>
      </c>
      <c r="B9" s="254" t="s">
        <v>35</v>
      </c>
      <c r="C9" s="255">
        <v>2</v>
      </c>
      <c r="D9" s="372">
        <v>0</v>
      </c>
      <c r="E9" s="372">
        <v>209</v>
      </c>
      <c r="F9" s="372">
        <v>0</v>
      </c>
      <c r="G9" s="372">
        <v>0</v>
      </c>
      <c r="H9" s="372">
        <v>0</v>
      </c>
      <c r="I9" s="372">
        <v>220</v>
      </c>
      <c r="J9" s="252">
        <f aca="true" t="shared" si="0" ref="J9:J72">D9+E9+F9+G9+H9+I9</f>
        <v>429</v>
      </c>
    </row>
    <row r="10" spans="1:10" ht="12.75">
      <c r="A10" s="253" t="s">
        <v>36</v>
      </c>
      <c r="B10" s="254" t="s">
        <v>220</v>
      </c>
      <c r="C10" s="255">
        <v>3</v>
      </c>
      <c r="D10" s="372">
        <v>0</v>
      </c>
      <c r="E10" s="372">
        <v>0</v>
      </c>
      <c r="F10" s="372">
        <v>0</v>
      </c>
      <c r="G10" s="372">
        <v>0</v>
      </c>
      <c r="H10" s="372">
        <v>0</v>
      </c>
      <c r="I10" s="372">
        <v>0</v>
      </c>
      <c r="J10" s="252">
        <f t="shared" si="0"/>
        <v>0</v>
      </c>
    </row>
    <row r="11" spans="1:10" ht="12.75">
      <c r="A11" s="253" t="s">
        <v>37</v>
      </c>
      <c r="B11" s="254" t="s">
        <v>38</v>
      </c>
      <c r="C11" s="255">
        <v>4</v>
      </c>
      <c r="D11" s="372">
        <v>0</v>
      </c>
      <c r="E11" s="372">
        <v>297</v>
      </c>
      <c r="F11" s="372">
        <v>0</v>
      </c>
      <c r="G11" s="372">
        <v>62</v>
      </c>
      <c r="H11" s="372">
        <v>0</v>
      </c>
      <c r="I11" s="372">
        <v>0</v>
      </c>
      <c r="J11" s="252">
        <f t="shared" si="0"/>
        <v>359</v>
      </c>
    </row>
    <row r="12" spans="1:10" ht="12.75">
      <c r="A12" s="253" t="s">
        <v>39</v>
      </c>
      <c r="B12" s="254" t="s">
        <v>40</v>
      </c>
      <c r="C12" s="255">
        <v>5</v>
      </c>
      <c r="D12" s="372">
        <v>0</v>
      </c>
      <c r="E12" s="372">
        <v>117</v>
      </c>
      <c r="F12" s="372">
        <v>0</v>
      </c>
      <c r="G12" s="372">
        <v>0</v>
      </c>
      <c r="H12" s="372">
        <v>0</v>
      </c>
      <c r="I12" s="372">
        <v>74</v>
      </c>
      <c r="J12" s="252">
        <f t="shared" si="0"/>
        <v>191</v>
      </c>
    </row>
    <row r="13" spans="1:10" ht="12.75">
      <c r="A13" s="253" t="s">
        <v>41</v>
      </c>
      <c r="B13" s="254" t="s">
        <v>42</v>
      </c>
      <c r="C13" s="255">
        <v>6</v>
      </c>
      <c r="D13" s="372">
        <v>0</v>
      </c>
      <c r="E13" s="372">
        <v>0</v>
      </c>
      <c r="F13" s="372">
        <v>0</v>
      </c>
      <c r="G13" s="372">
        <v>0</v>
      </c>
      <c r="H13" s="372">
        <v>0</v>
      </c>
      <c r="I13" s="372">
        <v>0</v>
      </c>
      <c r="J13" s="252">
        <f t="shared" si="0"/>
        <v>0</v>
      </c>
    </row>
    <row r="14" spans="1:10" ht="12.75">
      <c r="A14" s="253" t="s">
        <v>43</v>
      </c>
      <c r="B14" s="254" t="s">
        <v>44</v>
      </c>
      <c r="C14" s="255">
        <v>7</v>
      </c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3</v>
      </c>
      <c r="J14" s="252">
        <f t="shared" si="0"/>
        <v>3</v>
      </c>
    </row>
    <row r="15" spans="1:10" ht="12.75">
      <c r="A15" s="253" t="s">
        <v>45</v>
      </c>
      <c r="B15" s="254" t="s">
        <v>46</v>
      </c>
      <c r="C15" s="255">
        <v>8</v>
      </c>
      <c r="D15" s="372">
        <v>0</v>
      </c>
      <c r="E15" s="372">
        <v>137</v>
      </c>
      <c r="F15" s="372">
        <v>738</v>
      </c>
      <c r="G15" s="372">
        <v>10</v>
      </c>
      <c r="H15" s="372">
        <v>0</v>
      </c>
      <c r="I15" s="372">
        <v>119</v>
      </c>
      <c r="J15" s="252">
        <f t="shared" si="0"/>
        <v>1004</v>
      </c>
    </row>
    <row r="16" spans="1:10" ht="12.75">
      <c r="A16" s="253" t="s">
        <v>47</v>
      </c>
      <c r="B16" s="254" t="s">
        <v>48</v>
      </c>
      <c r="C16" s="255">
        <v>9</v>
      </c>
      <c r="D16" s="372">
        <v>0</v>
      </c>
      <c r="E16" s="372">
        <v>897</v>
      </c>
      <c r="F16" s="372">
        <v>518</v>
      </c>
      <c r="G16" s="372">
        <v>2</v>
      </c>
      <c r="H16" s="372">
        <v>0</v>
      </c>
      <c r="I16" s="372">
        <v>1027</v>
      </c>
      <c r="J16" s="252">
        <f t="shared" si="0"/>
        <v>2444</v>
      </c>
    </row>
    <row r="17" spans="1:10" ht="12.75">
      <c r="A17" s="253" t="s">
        <v>49</v>
      </c>
      <c r="B17" s="254" t="s">
        <v>50</v>
      </c>
      <c r="C17" s="255">
        <v>10</v>
      </c>
      <c r="D17" s="372">
        <v>0</v>
      </c>
      <c r="E17" s="372">
        <v>291</v>
      </c>
      <c r="F17" s="372">
        <v>75</v>
      </c>
      <c r="G17" s="372">
        <v>0</v>
      </c>
      <c r="H17" s="372">
        <v>0</v>
      </c>
      <c r="I17" s="372">
        <v>299</v>
      </c>
      <c r="J17" s="252">
        <f t="shared" si="0"/>
        <v>665</v>
      </c>
    </row>
    <row r="18" spans="1:10" ht="12.75">
      <c r="A18" s="253" t="s">
        <v>51</v>
      </c>
      <c r="B18" s="254" t="s">
        <v>221</v>
      </c>
      <c r="C18" s="255">
        <v>11</v>
      </c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252">
        <f t="shared" si="0"/>
        <v>0</v>
      </c>
    </row>
    <row r="19" spans="1:10" s="433" customFormat="1" ht="12.75">
      <c r="A19" s="426" t="s">
        <v>52</v>
      </c>
      <c r="B19" s="427" t="s">
        <v>53</v>
      </c>
      <c r="C19" s="428">
        <v>12</v>
      </c>
      <c r="D19" s="432">
        <v>0</v>
      </c>
      <c r="E19" s="432">
        <v>17</v>
      </c>
      <c r="F19" s="432">
        <v>1</v>
      </c>
      <c r="G19" s="432">
        <v>0</v>
      </c>
      <c r="H19" s="432">
        <v>0</v>
      </c>
      <c r="I19" s="432">
        <v>15</v>
      </c>
      <c r="J19" s="430">
        <f t="shared" si="0"/>
        <v>33</v>
      </c>
    </row>
    <row r="20" spans="1:10" s="440" customFormat="1" ht="12.75">
      <c r="A20" s="435" t="s">
        <v>54</v>
      </c>
      <c r="B20" s="436" t="s">
        <v>222</v>
      </c>
      <c r="C20" s="437">
        <v>13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9">
        <f t="shared" si="0"/>
        <v>0</v>
      </c>
    </row>
    <row r="21" spans="1:10" ht="12.75">
      <c r="A21" s="253" t="s">
        <v>55</v>
      </c>
      <c r="B21" s="254" t="s">
        <v>56</v>
      </c>
      <c r="C21" s="255">
        <v>14</v>
      </c>
      <c r="D21" s="372">
        <v>0</v>
      </c>
      <c r="E21" s="372">
        <v>2</v>
      </c>
      <c r="F21" s="372">
        <v>0</v>
      </c>
      <c r="G21" s="372">
        <v>0</v>
      </c>
      <c r="H21" s="372">
        <v>0</v>
      </c>
      <c r="I21" s="372">
        <v>0</v>
      </c>
      <c r="J21" s="252">
        <f t="shared" si="0"/>
        <v>2</v>
      </c>
    </row>
    <row r="22" spans="1:10" ht="12.75">
      <c r="A22" s="253" t="s">
        <v>57</v>
      </c>
      <c r="B22" s="254" t="s">
        <v>58</v>
      </c>
      <c r="C22" s="255">
        <v>15</v>
      </c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252">
        <f t="shared" si="0"/>
        <v>0</v>
      </c>
    </row>
    <row r="23" spans="1:10" ht="12.75">
      <c r="A23" s="253" t="s">
        <v>59</v>
      </c>
      <c r="B23" s="254" t="s">
        <v>223</v>
      </c>
      <c r="C23" s="255">
        <v>16</v>
      </c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252">
        <f t="shared" si="0"/>
        <v>0</v>
      </c>
    </row>
    <row r="24" spans="1:10" ht="12.75">
      <c r="A24" s="253" t="s">
        <v>60</v>
      </c>
      <c r="B24" s="254" t="s">
        <v>61</v>
      </c>
      <c r="C24" s="255">
        <v>17</v>
      </c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252">
        <f t="shared" si="0"/>
        <v>0</v>
      </c>
    </row>
    <row r="25" spans="1:10" ht="12.75">
      <c r="A25" s="253" t="s">
        <v>62</v>
      </c>
      <c r="B25" s="254" t="s">
        <v>224</v>
      </c>
      <c r="C25" s="255">
        <v>18</v>
      </c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252">
        <f t="shared" si="0"/>
        <v>0</v>
      </c>
    </row>
    <row r="26" spans="1:10" ht="12.75">
      <c r="A26" s="253" t="s">
        <v>63</v>
      </c>
      <c r="B26" s="254" t="s">
        <v>67</v>
      </c>
      <c r="C26" s="255">
        <v>19</v>
      </c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252">
        <f t="shared" si="0"/>
        <v>0</v>
      </c>
    </row>
    <row r="27" spans="1:10" ht="12.75">
      <c r="A27" s="253" t="s">
        <v>64</v>
      </c>
      <c r="B27" s="254" t="s">
        <v>71</v>
      </c>
      <c r="C27" s="255">
        <v>20</v>
      </c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252">
        <f t="shared" si="0"/>
        <v>0</v>
      </c>
    </row>
    <row r="28" spans="1:10" ht="12.75">
      <c r="A28" s="253">
        <v>547</v>
      </c>
      <c r="B28" s="254" t="s">
        <v>68</v>
      </c>
      <c r="C28" s="255">
        <v>21</v>
      </c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252">
        <f t="shared" si="0"/>
        <v>0</v>
      </c>
    </row>
    <row r="29" spans="1:10" ht="12.75">
      <c r="A29" s="253">
        <v>548</v>
      </c>
      <c r="B29" s="254" t="s">
        <v>225</v>
      </c>
      <c r="C29" s="255">
        <v>22</v>
      </c>
      <c r="D29" s="372">
        <v>0</v>
      </c>
      <c r="E29" s="372">
        <v>0</v>
      </c>
      <c r="F29" s="372">
        <v>0</v>
      </c>
      <c r="G29" s="372">
        <v>0</v>
      </c>
      <c r="H29" s="372">
        <v>0</v>
      </c>
      <c r="I29" s="372">
        <v>0</v>
      </c>
      <c r="J29" s="252">
        <f t="shared" si="0"/>
        <v>0</v>
      </c>
    </row>
    <row r="30" spans="1:10" ht="12.75">
      <c r="A30" s="253" t="s">
        <v>69</v>
      </c>
      <c r="B30" s="254" t="s">
        <v>226</v>
      </c>
      <c r="C30" s="255">
        <v>23</v>
      </c>
      <c r="D30" s="372">
        <v>0</v>
      </c>
      <c r="E30" s="372">
        <v>125</v>
      </c>
      <c r="F30" s="372">
        <v>0</v>
      </c>
      <c r="G30" s="372">
        <v>0</v>
      </c>
      <c r="H30" s="372">
        <v>0</v>
      </c>
      <c r="I30" s="372">
        <v>224</v>
      </c>
      <c r="J30" s="252">
        <f t="shared" si="0"/>
        <v>349</v>
      </c>
    </row>
    <row r="31" spans="1:10" ht="12.75">
      <c r="A31" s="253" t="s">
        <v>70</v>
      </c>
      <c r="B31" s="254" t="s">
        <v>227</v>
      </c>
      <c r="C31" s="255">
        <v>24</v>
      </c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252">
        <f t="shared" si="0"/>
        <v>0</v>
      </c>
    </row>
    <row r="32" spans="1:10" ht="12.75">
      <c r="A32" s="253">
        <v>553</v>
      </c>
      <c r="B32" s="254" t="s">
        <v>228</v>
      </c>
      <c r="C32" s="255">
        <v>25</v>
      </c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252">
        <f t="shared" si="0"/>
        <v>0</v>
      </c>
    </row>
    <row r="33" spans="1:10" ht="12.75">
      <c r="A33" s="253">
        <v>554</v>
      </c>
      <c r="B33" s="254" t="s">
        <v>229</v>
      </c>
      <c r="C33" s="255">
        <v>26</v>
      </c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252">
        <f t="shared" si="0"/>
        <v>0</v>
      </c>
    </row>
    <row r="34" spans="1:10" ht="12.75">
      <c r="A34" s="253">
        <v>555</v>
      </c>
      <c r="B34" s="254" t="s">
        <v>230</v>
      </c>
      <c r="C34" s="255">
        <v>27</v>
      </c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252">
        <f t="shared" si="0"/>
        <v>0</v>
      </c>
    </row>
    <row r="35" spans="1:10" ht="12.75">
      <c r="A35" s="253">
        <v>556</v>
      </c>
      <c r="B35" s="254" t="s">
        <v>231</v>
      </c>
      <c r="C35" s="255">
        <v>28</v>
      </c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252">
        <f t="shared" si="0"/>
        <v>0</v>
      </c>
    </row>
    <row r="36" spans="1:10" ht="12.75">
      <c r="A36" s="253">
        <v>557</v>
      </c>
      <c r="B36" s="254" t="s">
        <v>232</v>
      </c>
      <c r="C36" s="255">
        <v>29</v>
      </c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252">
        <f t="shared" si="0"/>
        <v>0</v>
      </c>
    </row>
    <row r="37" spans="1:10" ht="12.75">
      <c r="A37" s="256">
        <v>549</v>
      </c>
      <c r="B37" s="257" t="s">
        <v>233</v>
      </c>
      <c r="C37" s="258">
        <v>30</v>
      </c>
      <c r="D37" s="373">
        <v>0</v>
      </c>
      <c r="E37" s="373">
        <v>8</v>
      </c>
      <c r="F37" s="373">
        <v>0</v>
      </c>
      <c r="G37" s="373">
        <v>0</v>
      </c>
      <c r="H37" s="373">
        <v>0</v>
      </c>
      <c r="I37" s="373">
        <v>0</v>
      </c>
      <c r="J37" s="252">
        <f t="shared" si="0"/>
        <v>8</v>
      </c>
    </row>
    <row r="38" spans="1:10" ht="12.75">
      <c r="A38" s="256">
        <v>562</v>
      </c>
      <c r="B38" s="257" t="s">
        <v>65</v>
      </c>
      <c r="C38" s="258">
        <v>31</v>
      </c>
      <c r="D38" s="373">
        <v>0</v>
      </c>
      <c r="E38" s="373">
        <v>0</v>
      </c>
      <c r="F38" s="373">
        <v>0</v>
      </c>
      <c r="G38" s="373">
        <v>0</v>
      </c>
      <c r="H38" s="373">
        <v>0</v>
      </c>
      <c r="I38" s="373">
        <v>0</v>
      </c>
      <c r="J38" s="252">
        <f t="shared" si="0"/>
        <v>0</v>
      </c>
    </row>
    <row r="39" spans="1:10" ht="12.75">
      <c r="A39" s="256">
        <v>563</v>
      </c>
      <c r="B39" s="257" t="s">
        <v>66</v>
      </c>
      <c r="C39" s="258">
        <v>32</v>
      </c>
      <c r="D39" s="373">
        <v>0</v>
      </c>
      <c r="E39" s="373">
        <v>0</v>
      </c>
      <c r="F39" s="373">
        <v>0</v>
      </c>
      <c r="G39" s="373">
        <v>0</v>
      </c>
      <c r="H39" s="373">
        <v>0</v>
      </c>
      <c r="I39" s="373">
        <v>0</v>
      </c>
      <c r="J39" s="252">
        <f t="shared" si="0"/>
        <v>0</v>
      </c>
    </row>
    <row r="40" spans="1:10" ht="12.75">
      <c r="A40" s="256">
        <v>564</v>
      </c>
      <c r="B40" s="257" t="s">
        <v>234</v>
      </c>
      <c r="C40" s="258">
        <v>33</v>
      </c>
      <c r="D40" s="373">
        <v>0</v>
      </c>
      <c r="E40" s="373">
        <v>0</v>
      </c>
      <c r="F40" s="373">
        <v>0</v>
      </c>
      <c r="G40" s="373">
        <v>0</v>
      </c>
      <c r="H40" s="373">
        <v>0</v>
      </c>
      <c r="I40" s="373">
        <v>0</v>
      </c>
      <c r="J40" s="252">
        <f t="shared" si="0"/>
        <v>0</v>
      </c>
    </row>
    <row r="41" spans="1:10" ht="12.75">
      <c r="A41" s="256">
        <v>569</v>
      </c>
      <c r="B41" s="257" t="s">
        <v>235</v>
      </c>
      <c r="C41" s="258">
        <v>34</v>
      </c>
      <c r="D41" s="373">
        <v>0</v>
      </c>
      <c r="E41" s="373">
        <v>2</v>
      </c>
      <c r="F41" s="373">
        <v>0</v>
      </c>
      <c r="G41" s="373">
        <v>0</v>
      </c>
      <c r="H41" s="373">
        <v>0</v>
      </c>
      <c r="I41" s="373">
        <v>0</v>
      </c>
      <c r="J41" s="252">
        <f t="shared" si="0"/>
        <v>2</v>
      </c>
    </row>
    <row r="42" spans="1:10" ht="12.75">
      <c r="A42" s="256">
        <v>571</v>
      </c>
      <c r="B42" s="257" t="s">
        <v>236</v>
      </c>
      <c r="C42" s="258">
        <v>35</v>
      </c>
      <c r="D42" s="373">
        <v>0</v>
      </c>
      <c r="E42" s="373">
        <v>0</v>
      </c>
      <c r="F42" s="373">
        <v>0</v>
      </c>
      <c r="G42" s="373">
        <v>0</v>
      </c>
      <c r="H42" s="373">
        <v>0</v>
      </c>
      <c r="I42" s="373">
        <v>0</v>
      </c>
      <c r="J42" s="252">
        <f t="shared" si="0"/>
        <v>0</v>
      </c>
    </row>
    <row r="43" spans="1:10" ht="12.75">
      <c r="A43" s="256">
        <v>572</v>
      </c>
      <c r="B43" s="257" t="s">
        <v>237</v>
      </c>
      <c r="C43" s="258">
        <v>36</v>
      </c>
      <c r="D43" s="373">
        <v>0</v>
      </c>
      <c r="E43" s="373">
        <v>0</v>
      </c>
      <c r="F43" s="373">
        <v>0</v>
      </c>
      <c r="G43" s="373">
        <v>0</v>
      </c>
      <c r="H43" s="373">
        <v>0</v>
      </c>
      <c r="I43" s="373">
        <v>0</v>
      </c>
      <c r="J43" s="252">
        <f t="shared" si="0"/>
        <v>0</v>
      </c>
    </row>
    <row r="44" spans="1:10" ht="13.5" thickBot="1">
      <c r="A44" s="256">
        <v>574</v>
      </c>
      <c r="B44" s="257" t="s">
        <v>238</v>
      </c>
      <c r="C44" s="258">
        <v>37</v>
      </c>
      <c r="D44" s="373">
        <v>0</v>
      </c>
      <c r="E44" s="373">
        <v>0</v>
      </c>
      <c r="F44" s="373">
        <v>0</v>
      </c>
      <c r="G44" s="373">
        <v>0</v>
      </c>
      <c r="H44" s="373">
        <v>0</v>
      </c>
      <c r="I44" s="373">
        <v>0</v>
      </c>
      <c r="J44" s="252">
        <f t="shared" si="0"/>
        <v>0</v>
      </c>
    </row>
    <row r="45" spans="1:10" ht="13.5" thickBot="1">
      <c r="A45" s="259"/>
      <c r="B45" s="260" t="s">
        <v>239</v>
      </c>
      <c r="C45" s="261">
        <v>38</v>
      </c>
      <c r="D45" s="368">
        <f aca="true" t="shared" si="1" ref="D45:I45">SUM(D8:D44)</f>
        <v>0</v>
      </c>
      <c r="E45" s="368">
        <f t="shared" si="1"/>
        <v>2654</v>
      </c>
      <c r="F45" s="368">
        <f t="shared" si="1"/>
        <v>1342</v>
      </c>
      <c r="G45" s="368">
        <f t="shared" si="1"/>
        <v>77</v>
      </c>
      <c r="H45" s="368">
        <f t="shared" si="1"/>
        <v>0</v>
      </c>
      <c r="I45" s="368">
        <f t="shared" si="1"/>
        <v>2588</v>
      </c>
      <c r="J45" s="368">
        <f>D45+E45+F45+G45+H45+I45</f>
        <v>6661</v>
      </c>
    </row>
    <row r="46" spans="1:10" ht="12.75">
      <c r="A46" s="249" t="s">
        <v>72</v>
      </c>
      <c r="B46" s="250" t="s">
        <v>240</v>
      </c>
      <c r="C46" s="251">
        <v>39</v>
      </c>
      <c r="D46" s="371">
        <v>0</v>
      </c>
      <c r="E46" s="371">
        <v>0</v>
      </c>
      <c r="F46" s="371">
        <v>1384</v>
      </c>
      <c r="G46" s="371">
        <v>0</v>
      </c>
      <c r="H46" s="371">
        <v>0</v>
      </c>
      <c r="I46" s="371">
        <v>0</v>
      </c>
      <c r="J46" s="252">
        <f t="shared" si="0"/>
        <v>1384</v>
      </c>
    </row>
    <row r="47" spans="1:10" ht="12.75">
      <c r="A47" s="253" t="s">
        <v>73</v>
      </c>
      <c r="B47" s="254" t="s">
        <v>241</v>
      </c>
      <c r="C47" s="255">
        <v>40</v>
      </c>
      <c r="D47" s="372">
        <v>0</v>
      </c>
      <c r="E47" s="372">
        <v>1562</v>
      </c>
      <c r="F47" s="372">
        <v>214</v>
      </c>
      <c r="G47" s="372">
        <v>0</v>
      </c>
      <c r="H47" s="372">
        <v>0</v>
      </c>
      <c r="I47" s="372">
        <v>2619</v>
      </c>
      <c r="J47" s="252">
        <f t="shared" si="0"/>
        <v>4395</v>
      </c>
    </row>
    <row r="48" spans="1:10" ht="12.75">
      <c r="A48" s="253">
        <v>603</v>
      </c>
      <c r="B48" s="254" t="s">
        <v>242</v>
      </c>
      <c r="C48" s="255">
        <v>41</v>
      </c>
      <c r="D48" s="372">
        <v>0</v>
      </c>
      <c r="E48" s="372">
        <v>0</v>
      </c>
      <c r="F48" s="372">
        <v>0</v>
      </c>
      <c r="G48" s="372">
        <v>0</v>
      </c>
      <c r="H48" s="372">
        <v>0</v>
      </c>
      <c r="I48" s="372">
        <v>0</v>
      </c>
      <c r="J48" s="252">
        <f t="shared" si="0"/>
        <v>0</v>
      </c>
    </row>
    <row r="49" spans="1:10" ht="12.75">
      <c r="A49" s="253" t="s">
        <v>74</v>
      </c>
      <c r="B49" s="254" t="s">
        <v>243</v>
      </c>
      <c r="C49" s="255">
        <v>42</v>
      </c>
      <c r="D49" s="372">
        <v>0</v>
      </c>
      <c r="E49" s="372">
        <v>998</v>
      </c>
      <c r="F49" s="372">
        <v>0</v>
      </c>
      <c r="G49" s="372">
        <v>105</v>
      </c>
      <c r="H49" s="372">
        <v>0</v>
      </c>
      <c r="I49" s="372">
        <v>0</v>
      </c>
      <c r="J49" s="252">
        <f t="shared" si="0"/>
        <v>1103</v>
      </c>
    </row>
    <row r="50" spans="1:10" ht="12.75">
      <c r="A50" s="253">
        <v>609</v>
      </c>
      <c r="B50" s="254" t="s">
        <v>244</v>
      </c>
      <c r="C50" s="255">
        <v>43</v>
      </c>
      <c r="D50" s="372">
        <v>0</v>
      </c>
      <c r="E50" s="372">
        <v>0</v>
      </c>
      <c r="F50" s="372">
        <v>0</v>
      </c>
      <c r="G50" s="372">
        <v>0</v>
      </c>
      <c r="H50" s="372">
        <v>0</v>
      </c>
      <c r="I50" s="372">
        <v>0</v>
      </c>
      <c r="J50" s="252">
        <f t="shared" si="0"/>
        <v>0</v>
      </c>
    </row>
    <row r="51" spans="1:10" ht="12.75">
      <c r="A51" s="253" t="s">
        <v>75</v>
      </c>
      <c r="B51" s="254" t="s">
        <v>76</v>
      </c>
      <c r="C51" s="255">
        <v>44</v>
      </c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252">
        <f t="shared" si="0"/>
        <v>0</v>
      </c>
    </row>
    <row r="52" spans="1:10" ht="12.75">
      <c r="A52" s="253" t="s">
        <v>77</v>
      </c>
      <c r="B52" s="254" t="s">
        <v>78</v>
      </c>
      <c r="C52" s="255">
        <v>45</v>
      </c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252">
        <f t="shared" si="0"/>
        <v>0</v>
      </c>
    </row>
    <row r="53" spans="1:10" ht="12.75">
      <c r="A53" s="253" t="s">
        <v>79</v>
      </c>
      <c r="B53" s="254" t="s">
        <v>80</v>
      </c>
      <c r="C53" s="255">
        <v>46</v>
      </c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252">
        <f t="shared" si="0"/>
        <v>0</v>
      </c>
    </row>
    <row r="54" spans="1:10" ht="12.75">
      <c r="A54" s="253" t="s">
        <v>81</v>
      </c>
      <c r="B54" s="254" t="s">
        <v>245</v>
      </c>
      <c r="C54" s="255">
        <v>47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252">
        <f t="shared" si="0"/>
        <v>0</v>
      </c>
    </row>
    <row r="55" spans="1:10" ht="12.75">
      <c r="A55" s="253" t="s">
        <v>82</v>
      </c>
      <c r="B55" s="254" t="s">
        <v>83</v>
      </c>
      <c r="C55" s="255">
        <v>48</v>
      </c>
      <c r="D55" s="372">
        <v>0</v>
      </c>
      <c r="E55" s="372">
        <v>0</v>
      </c>
      <c r="F55" s="372">
        <v>0</v>
      </c>
      <c r="G55" s="372">
        <v>0</v>
      </c>
      <c r="H55" s="372">
        <v>0</v>
      </c>
      <c r="I55" s="372">
        <v>0</v>
      </c>
      <c r="J55" s="252">
        <f t="shared" si="0"/>
        <v>0</v>
      </c>
    </row>
    <row r="56" spans="1:10" ht="12.75">
      <c r="A56" s="253" t="s">
        <v>84</v>
      </c>
      <c r="B56" s="254" t="s">
        <v>85</v>
      </c>
      <c r="C56" s="255">
        <v>49</v>
      </c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252">
        <f t="shared" si="0"/>
        <v>0</v>
      </c>
    </row>
    <row r="57" spans="1:10" ht="12.75">
      <c r="A57" s="253" t="s">
        <v>86</v>
      </c>
      <c r="B57" s="254" t="s">
        <v>87</v>
      </c>
      <c r="C57" s="255">
        <v>50</v>
      </c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252">
        <f t="shared" si="0"/>
        <v>0</v>
      </c>
    </row>
    <row r="58" spans="1:10" ht="12.75">
      <c r="A58" s="253" t="s">
        <v>88</v>
      </c>
      <c r="B58" s="254" t="s">
        <v>89</v>
      </c>
      <c r="C58" s="255">
        <v>51</v>
      </c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252">
        <f t="shared" si="0"/>
        <v>0</v>
      </c>
    </row>
    <row r="59" spans="1:10" ht="12.75">
      <c r="A59" s="253" t="s">
        <v>90</v>
      </c>
      <c r="B59" s="254" t="s">
        <v>61</v>
      </c>
      <c r="C59" s="255">
        <v>52</v>
      </c>
      <c r="D59" s="372">
        <v>0</v>
      </c>
      <c r="E59" s="372">
        <v>0</v>
      </c>
      <c r="F59" s="372">
        <v>0</v>
      </c>
      <c r="G59" s="372">
        <v>0</v>
      </c>
      <c r="H59" s="372">
        <v>0</v>
      </c>
      <c r="I59" s="372">
        <v>0</v>
      </c>
      <c r="J59" s="252">
        <f t="shared" si="0"/>
        <v>0</v>
      </c>
    </row>
    <row r="60" spans="1:10" ht="12.75">
      <c r="A60" s="253" t="s">
        <v>91</v>
      </c>
      <c r="B60" s="254" t="s">
        <v>224</v>
      </c>
      <c r="C60" s="255">
        <v>53</v>
      </c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252">
        <f t="shared" si="0"/>
        <v>0</v>
      </c>
    </row>
    <row r="61" spans="1:10" ht="12.75">
      <c r="A61" s="253" t="s">
        <v>92</v>
      </c>
      <c r="B61" s="254" t="s">
        <v>246</v>
      </c>
      <c r="C61" s="255">
        <v>54</v>
      </c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72">
        <v>0</v>
      </c>
      <c r="J61" s="252">
        <f t="shared" si="0"/>
        <v>0</v>
      </c>
    </row>
    <row r="62" spans="1:10" ht="12.75">
      <c r="A62" s="253" t="s">
        <v>93</v>
      </c>
      <c r="B62" s="254" t="s">
        <v>247</v>
      </c>
      <c r="C62" s="255">
        <v>55</v>
      </c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252">
        <f t="shared" si="0"/>
        <v>0</v>
      </c>
    </row>
    <row r="63" spans="1:10" ht="12.75">
      <c r="A63" s="253" t="s">
        <v>94</v>
      </c>
      <c r="B63" s="254" t="s">
        <v>248</v>
      </c>
      <c r="C63" s="255">
        <v>56</v>
      </c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252">
        <f t="shared" si="0"/>
        <v>0</v>
      </c>
    </row>
    <row r="64" spans="1:10" ht="12.75">
      <c r="A64" s="253">
        <v>646</v>
      </c>
      <c r="B64" s="254" t="s">
        <v>249</v>
      </c>
      <c r="C64" s="255">
        <v>57</v>
      </c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252">
        <f t="shared" si="0"/>
        <v>0</v>
      </c>
    </row>
    <row r="65" spans="1:10" ht="12.75">
      <c r="A65" s="253">
        <v>647</v>
      </c>
      <c r="B65" s="254" t="s">
        <v>250</v>
      </c>
      <c r="C65" s="255">
        <v>58</v>
      </c>
      <c r="D65" s="372">
        <v>0</v>
      </c>
      <c r="E65" s="372">
        <v>0</v>
      </c>
      <c r="F65" s="372">
        <v>0</v>
      </c>
      <c r="G65" s="372">
        <v>0</v>
      </c>
      <c r="H65" s="372">
        <v>0</v>
      </c>
      <c r="I65" s="372">
        <v>0</v>
      </c>
      <c r="J65" s="252">
        <f t="shared" si="0"/>
        <v>0</v>
      </c>
    </row>
    <row r="66" spans="1:10" ht="12.75">
      <c r="A66" s="253">
        <v>648</v>
      </c>
      <c r="B66" s="254" t="s">
        <v>262</v>
      </c>
      <c r="C66" s="255">
        <v>59</v>
      </c>
      <c r="D66" s="372">
        <v>0</v>
      </c>
      <c r="E66" s="372">
        <v>13</v>
      </c>
      <c r="F66" s="372">
        <v>0</v>
      </c>
      <c r="G66" s="372">
        <v>0</v>
      </c>
      <c r="H66" s="372">
        <v>0</v>
      </c>
      <c r="I66" s="372">
        <v>0</v>
      </c>
      <c r="J66" s="252">
        <f t="shared" si="0"/>
        <v>13</v>
      </c>
    </row>
    <row r="67" spans="1:10" ht="12.75">
      <c r="A67" s="253">
        <v>649</v>
      </c>
      <c r="B67" s="254" t="s">
        <v>251</v>
      </c>
      <c r="C67" s="255">
        <v>60</v>
      </c>
      <c r="D67" s="372">
        <v>0</v>
      </c>
      <c r="E67" s="372">
        <v>270</v>
      </c>
      <c r="F67" s="372">
        <v>0</v>
      </c>
      <c r="G67" s="372">
        <v>0</v>
      </c>
      <c r="H67" s="372">
        <v>0</v>
      </c>
      <c r="I67" s="372">
        <v>0</v>
      </c>
      <c r="J67" s="252">
        <f t="shared" si="0"/>
        <v>270</v>
      </c>
    </row>
    <row r="68" spans="1:10" ht="12.75">
      <c r="A68" s="253">
        <v>662</v>
      </c>
      <c r="B68" s="254" t="s">
        <v>65</v>
      </c>
      <c r="C68" s="255">
        <v>61</v>
      </c>
      <c r="D68" s="372">
        <v>0</v>
      </c>
      <c r="E68" s="372">
        <v>0</v>
      </c>
      <c r="F68" s="372">
        <v>0</v>
      </c>
      <c r="G68" s="372">
        <v>0</v>
      </c>
      <c r="H68" s="372">
        <v>0</v>
      </c>
      <c r="I68" s="372">
        <v>0</v>
      </c>
      <c r="J68" s="252">
        <f t="shared" si="0"/>
        <v>0</v>
      </c>
    </row>
    <row r="69" spans="1:10" ht="12.75">
      <c r="A69" s="253">
        <v>663</v>
      </c>
      <c r="B69" s="254" t="s">
        <v>95</v>
      </c>
      <c r="C69" s="255">
        <v>62</v>
      </c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252">
        <f t="shared" si="0"/>
        <v>0</v>
      </c>
    </row>
    <row r="70" spans="1:10" ht="12.75">
      <c r="A70" s="253">
        <v>664</v>
      </c>
      <c r="B70" s="254" t="s">
        <v>252</v>
      </c>
      <c r="C70" s="255">
        <v>63</v>
      </c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252">
        <f t="shared" si="0"/>
        <v>0</v>
      </c>
    </row>
    <row r="71" spans="1:10" ht="12.75">
      <c r="A71" s="253">
        <v>669</v>
      </c>
      <c r="B71" s="254" t="s">
        <v>253</v>
      </c>
      <c r="C71" s="255">
        <v>64</v>
      </c>
      <c r="D71" s="373">
        <v>0</v>
      </c>
      <c r="E71" s="373">
        <v>0</v>
      </c>
      <c r="F71" s="373">
        <v>0</v>
      </c>
      <c r="G71" s="373">
        <v>0</v>
      </c>
      <c r="H71" s="373">
        <v>0</v>
      </c>
      <c r="I71" s="373">
        <v>0</v>
      </c>
      <c r="J71" s="252">
        <f t="shared" si="0"/>
        <v>0</v>
      </c>
    </row>
    <row r="72" spans="1:10" ht="12.75">
      <c r="A72" s="253">
        <v>671</v>
      </c>
      <c r="B72" s="254" t="s">
        <v>254</v>
      </c>
      <c r="C72" s="255">
        <v>65</v>
      </c>
      <c r="D72" s="373">
        <v>0</v>
      </c>
      <c r="E72" s="373">
        <v>0</v>
      </c>
      <c r="F72" s="373">
        <v>0</v>
      </c>
      <c r="G72" s="373">
        <v>0</v>
      </c>
      <c r="H72" s="373">
        <v>0</v>
      </c>
      <c r="I72" s="373">
        <v>0</v>
      </c>
      <c r="J72" s="252">
        <f t="shared" si="0"/>
        <v>0</v>
      </c>
    </row>
    <row r="73" spans="1:10" ht="12.75">
      <c r="A73" s="253">
        <v>672</v>
      </c>
      <c r="B73" s="254" t="s">
        <v>255</v>
      </c>
      <c r="C73" s="255">
        <v>66</v>
      </c>
      <c r="D73" s="373">
        <v>0</v>
      </c>
      <c r="E73" s="373">
        <v>0</v>
      </c>
      <c r="F73" s="373">
        <v>0</v>
      </c>
      <c r="G73" s="373">
        <v>0</v>
      </c>
      <c r="H73" s="373">
        <v>0</v>
      </c>
      <c r="I73" s="373">
        <v>0</v>
      </c>
      <c r="J73" s="252">
        <f aca="true" t="shared" si="2" ref="J73:J80">D73+E73+F73+G73+H73+I73</f>
        <v>0</v>
      </c>
    </row>
    <row r="74" spans="1:10" ht="12.75">
      <c r="A74" s="253">
        <v>673</v>
      </c>
      <c r="B74" s="254" t="s">
        <v>256</v>
      </c>
      <c r="C74" s="255">
        <v>67</v>
      </c>
      <c r="D74" s="373">
        <v>0</v>
      </c>
      <c r="E74" s="373">
        <v>0</v>
      </c>
      <c r="F74" s="373">
        <v>0</v>
      </c>
      <c r="G74" s="373">
        <v>0</v>
      </c>
      <c r="H74" s="373">
        <v>0</v>
      </c>
      <c r="I74" s="373">
        <v>0</v>
      </c>
      <c r="J74" s="252">
        <f t="shared" si="2"/>
        <v>0</v>
      </c>
    </row>
    <row r="75" spans="1:10" ht="13.5" thickBot="1">
      <c r="A75" s="256">
        <v>674</v>
      </c>
      <c r="B75" s="257" t="s">
        <v>257</v>
      </c>
      <c r="C75" s="258">
        <v>68</v>
      </c>
      <c r="D75" s="373">
        <v>0</v>
      </c>
      <c r="E75" s="373">
        <v>0</v>
      </c>
      <c r="F75" s="373">
        <v>0</v>
      </c>
      <c r="G75" s="373">
        <v>0</v>
      </c>
      <c r="H75" s="373">
        <v>0</v>
      </c>
      <c r="I75" s="373">
        <v>0</v>
      </c>
      <c r="J75" s="252">
        <f t="shared" si="2"/>
        <v>0</v>
      </c>
    </row>
    <row r="76" spans="1:10" ht="13.5" thickBot="1">
      <c r="A76" s="259"/>
      <c r="B76" s="260" t="s">
        <v>258</v>
      </c>
      <c r="C76" s="261">
        <v>70</v>
      </c>
      <c r="D76" s="368">
        <f aca="true" t="shared" si="3" ref="D76:I76">SUM(D46:D75)</f>
        <v>0</v>
      </c>
      <c r="E76" s="368">
        <f t="shared" si="3"/>
        <v>2843</v>
      </c>
      <c r="F76" s="368">
        <f t="shared" si="3"/>
        <v>1598</v>
      </c>
      <c r="G76" s="368">
        <f t="shared" si="3"/>
        <v>105</v>
      </c>
      <c r="H76" s="368">
        <f t="shared" si="3"/>
        <v>0</v>
      </c>
      <c r="I76" s="368">
        <f t="shared" si="3"/>
        <v>2619</v>
      </c>
      <c r="J76" s="368">
        <f t="shared" si="2"/>
        <v>7165</v>
      </c>
    </row>
    <row r="77" spans="1:10" ht="13.5" thickBot="1">
      <c r="A77" s="262"/>
      <c r="B77" s="263" t="s">
        <v>259</v>
      </c>
      <c r="C77" s="264">
        <v>71</v>
      </c>
      <c r="D77" s="369">
        <f aca="true" t="shared" si="4" ref="D77:I77">D76-D45</f>
        <v>0</v>
      </c>
      <c r="E77" s="369">
        <f t="shared" si="4"/>
        <v>189</v>
      </c>
      <c r="F77" s="369">
        <f t="shared" si="4"/>
        <v>256</v>
      </c>
      <c r="G77" s="369">
        <f t="shared" si="4"/>
        <v>28</v>
      </c>
      <c r="H77" s="369">
        <f t="shared" si="4"/>
        <v>0</v>
      </c>
      <c r="I77" s="369">
        <f t="shared" si="4"/>
        <v>31</v>
      </c>
      <c r="J77" s="369">
        <f t="shared" si="2"/>
        <v>504</v>
      </c>
    </row>
    <row r="78" spans="1:10" ht="12.75">
      <c r="A78" s="249" t="s">
        <v>96</v>
      </c>
      <c r="B78" s="250" t="s">
        <v>97</v>
      </c>
      <c r="C78" s="251">
        <v>72</v>
      </c>
      <c r="D78" s="371">
        <v>0</v>
      </c>
      <c r="E78" s="371">
        <v>0</v>
      </c>
      <c r="F78" s="371">
        <v>32</v>
      </c>
      <c r="G78" s="371">
        <v>0</v>
      </c>
      <c r="H78" s="371">
        <v>0</v>
      </c>
      <c r="I78" s="371">
        <v>0</v>
      </c>
      <c r="J78" s="365">
        <f t="shared" si="2"/>
        <v>32</v>
      </c>
    </row>
    <row r="79" spans="1:10" ht="12.75">
      <c r="A79" s="253" t="s">
        <v>98</v>
      </c>
      <c r="B79" s="254" t="s">
        <v>99</v>
      </c>
      <c r="C79" s="255">
        <v>73</v>
      </c>
      <c r="D79" s="372">
        <v>0</v>
      </c>
      <c r="E79" s="372">
        <v>0</v>
      </c>
      <c r="F79" s="372">
        <v>0</v>
      </c>
      <c r="G79" s="372">
        <v>0</v>
      </c>
      <c r="H79" s="372">
        <v>0</v>
      </c>
      <c r="I79" s="372">
        <v>0</v>
      </c>
      <c r="J79" s="365">
        <f t="shared" si="2"/>
        <v>0</v>
      </c>
    </row>
    <row r="80" spans="1:10" ht="13.5" thickBot="1">
      <c r="A80" s="265"/>
      <c r="B80" s="266" t="s">
        <v>260</v>
      </c>
      <c r="C80" s="267">
        <v>74</v>
      </c>
      <c r="D80" s="374">
        <f aca="true" t="shared" si="5" ref="D80:I80">D77-D78-D79</f>
        <v>0</v>
      </c>
      <c r="E80" s="374">
        <f t="shared" si="5"/>
        <v>189</v>
      </c>
      <c r="F80" s="374">
        <f t="shared" si="5"/>
        <v>224</v>
      </c>
      <c r="G80" s="374">
        <f t="shared" si="5"/>
        <v>28</v>
      </c>
      <c r="H80" s="374">
        <f t="shared" si="5"/>
        <v>0</v>
      </c>
      <c r="I80" s="374">
        <f t="shared" si="5"/>
        <v>31</v>
      </c>
      <c r="J80" s="370">
        <f t="shared" si="2"/>
        <v>472</v>
      </c>
    </row>
  </sheetData>
  <sheetProtection/>
  <printOptions/>
  <pageMargins left="0.5905511811023623" right="0.5905511811023623" top="0.7874015748031497" bottom="0.3937007874015748" header="0.5118110236220472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avratova</dc:creator>
  <cp:keywords/>
  <dc:description/>
  <cp:lastModifiedBy>finkova</cp:lastModifiedBy>
  <cp:lastPrinted>2011-03-15T14:20:05Z</cp:lastPrinted>
  <dcterms:created xsi:type="dcterms:W3CDTF">2008-02-28T11:41:56Z</dcterms:created>
  <dcterms:modified xsi:type="dcterms:W3CDTF">2011-06-08T10:33:52Z</dcterms:modified>
  <cp:category/>
  <cp:version/>
  <cp:contentType/>
  <cp:contentStatus/>
</cp:coreProperties>
</file>