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UR09" sheetId="1" r:id="rId1"/>
    <sheet name="ESF" sheetId="2" r:id="rId2"/>
    <sheet name="RN-Sk" sheetId="3" r:id="rId3"/>
    <sheet name="ONIV" sheetId="4" r:id="rId4"/>
    <sheet name="vynosy" sheetId="5" r:id="rId5"/>
    <sheet name="HVcelkem" sheetId="6" r:id="rId6"/>
    <sheet name="HV-HC orig" sheetId="7" r:id="rId7"/>
    <sheet name="HV-JC orig" sheetId="8" r:id="rId8"/>
    <sheet name="penFondy" sheetId="9" r:id="rId9"/>
    <sheet name="krytíPF" sheetId="10" r:id="rId10"/>
    <sheet name="F09 po prid" sheetId="11" r:id="rId11"/>
  </sheets>
  <definedNames>
    <definedName name="_xlnm.Print_Titles" localSheetId="10">'F09 po prid'!$1:$4</definedName>
  </definedNames>
  <calcPr fullCalcOnLoad="1"/>
</workbook>
</file>

<file path=xl/sharedStrings.xml><?xml version="1.0" encoding="utf-8"?>
<sst xmlns="http://schemas.openxmlformats.org/spreadsheetml/2006/main" count="960" uniqueCount="410">
  <si>
    <t>(bez FKSP - neprovádí se příděl z HV)</t>
  </si>
  <si>
    <t>v tis. Kč</t>
  </si>
  <si>
    <t>Návrh přídělu ze zlepš. HV</t>
  </si>
  <si>
    <t>Fond odměn</t>
  </si>
  <si>
    <t>IPPP Praha</t>
  </si>
  <si>
    <t>DZS Praha</t>
  </si>
  <si>
    <t>US Richtr.boudy</t>
  </si>
  <si>
    <t>ÚIV Praha</t>
  </si>
  <si>
    <t>NÚOV Praha</t>
  </si>
  <si>
    <t>VÚP Praha</t>
  </si>
  <si>
    <t>PMJAK Praha</t>
  </si>
  <si>
    <t>NIDM Praha</t>
  </si>
  <si>
    <t>KJWF Praha</t>
  </si>
  <si>
    <t>NIDV Praha</t>
  </si>
  <si>
    <t>PC Č.Těšín</t>
  </si>
  <si>
    <t>VKC Telč</t>
  </si>
  <si>
    <t>ADV Praha</t>
  </si>
  <si>
    <t xml:space="preserve">FO CELKEM </t>
  </si>
  <si>
    <t>Fond rezervní</t>
  </si>
  <si>
    <t xml:space="preserve">RF CELKEM </t>
  </si>
  <si>
    <t>FRM</t>
  </si>
  <si>
    <t>FRM CELKEM</t>
  </si>
  <si>
    <t xml:space="preserve">CELKEM </t>
  </si>
  <si>
    <t>CELKEM OPŘO</t>
  </si>
  <si>
    <t xml:space="preserve">Krytí peněžních fondů OPŘO </t>
  </si>
  <si>
    <t>Číslo účtu</t>
  </si>
  <si>
    <t>Běžný účet</t>
  </si>
  <si>
    <t>Ostatní běžné účty</t>
  </si>
  <si>
    <t>PC Č. Těšín</t>
  </si>
  <si>
    <t>FKSP</t>
  </si>
  <si>
    <t>FRIM</t>
  </si>
  <si>
    <t>Peněžní fondy za OPŘO celkem</t>
  </si>
  <si>
    <t>Peněžní fondy OPŘO - tvorba a čerpání</t>
  </si>
  <si>
    <t>Čerpání</t>
  </si>
  <si>
    <t>v  tis. Kč</t>
  </si>
  <si>
    <t>Účet</t>
  </si>
  <si>
    <t>Název ukazatele</t>
  </si>
  <si>
    <t>Řádek</t>
  </si>
  <si>
    <t>DZS</t>
  </si>
  <si>
    <t>US RB</t>
  </si>
  <si>
    <t>NIDM</t>
  </si>
  <si>
    <t>VKC</t>
  </si>
  <si>
    <t>501</t>
  </si>
  <si>
    <t>Spotřeba materiálu</t>
  </si>
  <si>
    <t>502</t>
  </si>
  <si>
    <t>Spotřeba energie</t>
  </si>
  <si>
    <t>503</t>
  </si>
  <si>
    <t>Spotřeba ostatních neskladovatelných dodávek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</si>
  <si>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</si>
  <si>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</si>
  <si>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</si>
  <si>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</si>
  <si>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</si>
  <si>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</si>
  <si>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</si>
  <si>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</si>
  <si>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</si>
  <si>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</si>
  <si>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</si>
  <si>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</si>
  <si>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</si>
  <si>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</si>
  <si>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525</t>
  </si>
  <si>
    <t>Ostatní sociální pojištění</t>
  </si>
  <si>
    <t>527</t>
  </si>
  <si>
    <t>Zákonné sociální náklady</t>
  </si>
  <si>
    <t>528</t>
  </si>
  <si>
    <t>Ostatní sociální náklady</t>
  </si>
  <si>
    <t>531</t>
  </si>
  <si>
    <t>Daň silniční</t>
  </si>
  <si>
    <t>532</t>
  </si>
  <si>
    <t>Daň z nemovitostí</t>
  </si>
  <si>
    <t>538</t>
  </si>
  <si>
    <t>Ostatní daně a poplatky</t>
  </si>
  <si>
    <t>541</t>
  </si>
  <si>
    <t>Smluvní pokuty a úroky z prodlení</t>
  </si>
  <si>
    <t>542</t>
  </si>
  <si>
    <t>Ostatní pokuty a penále</t>
  </si>
  <si>
    <t>543</t>
  </si>
  <si>
    <t>Odpis pohledávky</t>
  </si>
  <si>
    <t>544</t>
  </si>
  <si>
    <t>Úroky</t>
  </si>
  <si>
    <t>545</t>
  </si>
  <si>
    <t>Kurzové ztráty</t>
  </si>
  <si>
    <t>546</t>
  </si>
  <si>
    <t>Dary</t>
  </si>
  <si>
    <t>548</t>
  </si>
  <si>
    <t>Manka a škody</t>
  </si>
  <si>
    <t>549</t>
  </si>
  <si>
    <t>Jiné ostatní náklady</t>
  </si>
  <si>
    <t>551</t>
  </si>
  <si>
    <t>Odpisy dlouhodobého hmotného a nehmotného majetku</t>
  </si>
  <si>
    <t>552</t>
  </si>
  <si>
    <t>Zůstatková cena prodaného dlouhodobého hm. a nehm. majetku</t>
  </si>
  <si>
    <t>553</t>
  </si>
  <si>
    <t>Prodané cenné papíry a vklady</t>
  </si>
  <si>
    <t>554</t>
  </si>
  <si>
    <t>Prodaný materiál</t>
  </si>
  <si>
    <t>556</t>
  </si>
  <si>
    <t>Tvorba zákonných rezerv</t>
  </si>
  <si>
    <t>559</t>
  </si>
  <si>
    <t>Tvorba zákonných opravných položek</t>
  </si>
  <si>
    <t>Účtová třída 5 celkem                                            (řádek 1 až 30)</t>
  </si>
  <si>
    <t>601</t>
  </si>
  <si>
    <t>Tržby za vlastní výrobky</t>
  </si>
  <si>
    <t>602</t>
  </si>
  <si>
    <t>Tržby z prodeje služeb</t>
  </si>
  <si>
    <t>604</t>
  </si>
  <si>
    <t>Tržby za prodané zboží</t>
  </si>
  <si>
    <t>611</t>
  </si>
  <si>
    <t>Změna stavu zásob nedokončené výroby</t>
  </si>
  <si>
    <t>612</t>
  </si>
  <si>
    <t>Změna stavu zásob polotovarů</t>
  </si>
  <si>
    <t>613</t>
  </si>
  <si>
    <t>Změna stavu zásob výrobků</t>
  </si>
  <si>
    <t>614</t>
  </si>
  <si>
    <t>Změna stavu zvířat</t>
  </si>
  <si>
    <t>621</t>
  </si>
  <si>
    <t>Aktivace materiálu a zboží</t>
  </si>
  <si>
    <t>622</t>
  </si>
  <si>
    <t>Aktivace vnitroorganizačních služeb</t>
  </si>
  <si>
    <t>623</t>
  </si>
  <si>
    <t>Aktivace dlouhodobého nehmotného majetku</t>
  </si>
  <si>
    <t>624</t>
  </si>
  <si>
    <t>Aktivace dlouhodobého hmotného majetku</t>
  </si>
  <si>
    <t>641</t>
  </si>
  <si>
    <t>642</t>
  </si>
  <si>
    <t>643</t>
  </si>
  <si>
    <t>Platby za odepsané pohledávky</t>
  </si>
  <si>
    <t>644</t>
  </si>
  <si>
    <t>645</t>
  </si>
  <si>
    <t>Kurzové zisky</t>
  </si>
  <si>
    <t>Zúčtování fondu</t>
  </si>
  <si>
    <t>649</t>
  </si>
  <si>
    <t>Jiné ostatní výnosy</t>
  </si>
  <si>
    <t>651</t>
  </si>
  <si>
    <t>Tržby z prodeje dlouhodobého hmotného a nehmotného majetku</t>
  </si>
  <si>
    <t>652</t>
  </si>
  <si>
    <t>Výnosy z dlouhodobého finančního majetku</t>
  </si>
  <si>
    <t>653</t>
  </si>
  <si>
    <t>Tržby z prodeje cenných papírů a vkladů</t>
  </si>
  <si>
    <t>654</t>
  </si>
  <si>
    <t>Tržby z prodeje materiálu</t>
  </si>
  <si>
    <t>655</t>
  </si>
  <si>
    <t>Výnosy z krátkodobého finančního majetku</t>
  </si>
  <si>
    <t>656</t>
  </si>
  <si>
    <t>Zúčtování zákonných rezerv</t>
  </si>
  <si>
    <t>659</t>
  </si>
  <si>
    <t>Zúčtování zákonných opravných položek</t>
  </si>
  <si>
    <t>691</t>
  </si>
  <si>
    <t>Provozní dotace</t>
  </si>
  <si>
    <t>Účtová třída 6 celkem                                          (řádek 32 až 57)</t>
  </si>
  <si>
    <t>Výsledek hospodaření před zdaněním                       (řádek 58-31)</t>
  </si>
  <si>
    <t>591</t>
  </si>
  <si>
    <t>Daň z příjmů</t>
  </si>
  <si>
    <t>595</t>
  </si>
  <si>
    <t>Dodatečné odvody daně z příjmů</t>
  </si>
  <si>
    <t>Výsledek hospodaření po zdanění                        (řádek 59-60-61)</t>
  </si>
  <si>
    <t>IPPP</t>
  </si>
  <si>
    <t>PMJAK</t>
  </si>
  <si>
    <t>KJWF</t>
  </si>
  <si>
    <t>NIDV</t>
  </si>
  <si>
    <t>ADV</t>
  </si>
  <si>
    <t>Celkem</t>
  </si>
  <si>
    <t>OPŘO</t>
  </si>
  <si>
    <t>HV hlavní činnosti</t>
  </si>
  <si>
    <t>HV jiné činnosti</t>
  </si>
  <si>
    <t>HV celkem</t>
  </si>
  <si>
    <t>HV celkem bez daně</t>
  </si>
  <si>
    <t>z toho daň</t>
  </si>
  <si>
    <t>HV</t>
  </si>
  <si>
    <t>US Richtrovy boudy</t>
  </si>
  <si>
    <t>Celkem OPŘO</t>
  </si>
  <si>
    <t>Tabulka č. 10</t>
  </si>
  <si>
    <t>z vlastní činnosti</t>
  </si>
  <si>
    <t xml:space="preserve">ostatní </t>
  </si>
  <si>
    <t>Převody z vlastních fondů</t>
  </si>
  <si>
    <t>celkem</t>
  </si>
  <si>
    <t>rozpočet</t>
  </si>
  <si>
    <t>skutečnost</t>
  </si>
  <si>
    <t>Tabulka č. 9</t>
  </si>
  <si>
    <t>Rozpočet zákonných odvodů</t>
  </si>
  <si>
    <t xml:space="preserve">Skutečnost </t>
  </si>
  <si>
    <t>Rozdíl            + úspora        - překročení</t>
  </si>
  <si>
    <t>Procento</t>
  </si>
  <si>
    <t>Rozpočet FKSP</t>
  </si>
  <si>
    <t>Rozdíl         + úspora        - překročení</t>
  </si>
  <si>
    <t>Rozpočet OBV</t>
  </si>
  <si>
    <t>Rozpočet ONIV celkem</t>
  </si>
  <si>
    <t>sl. 1</t>
  </si>
  <si>
    <t>sl. 2</t>
  </si>
  <si>
    <t>sl. 3</t>
  </si>
  <si>
    <t>sl.4</t>
  </si>
  <si>
    <t>CELKEM OPŘO - PO</t>
  </si>
  <si>
    <t>Tabulka č. 3</t>
  </si>
  <si>
    <t>Rozpočet nákladů celkem</t>
  </si>
  <si>
    <t>Skutečnost (V + N)</t>
  </si>
  <si>
    <t>Tabulka č. 2</t>
  </si>
  <si>
    <t xml:space="preserve">PLATY </t>
  </si>
  <si>
    <t xml:space="preserve">OON </t>
  </si>
  <si>
    <t>MP celkem</t>
  </si>
  <si>
    <t>POJ.</t>
  </si>
  <si>
    <t xml:space="preserve">FKSP </t>
  </si>
  <si>
    <t>OBV provoz</t>
  </si>
  <si>
    <t>OBV celkem</t>
  </si>
  <si>
    <t>ONIV celkem</t>
  </si>
  <si>
    <t>NIV příspěvek PO</t>
  </si>
  <si>
    <t>Výnosy</t>
  </si>
  <si>
    <t>CELKEM VÝDAJE</t>
  </si>
  <si>
    <t>Počet zam.</t>
  </si>
  <si>
    <t>Paragraf</t>
  </si>
  <si>
    <t>Popis</t>
  </si>
  <si>
    <t>5331                    01</t>
  </si>
  <si>
    <t>5331                    02</t>
  </si>
  <si>
    <t>5331                    03</t>
  </si>
  <si>
    <t>5331                    04</t>
  </si>
  <si>
    <t>5331                    05</t>
  </si>
  <si>
    <t>IPPP CELKEM</t>
  </si>
  <si>
    <t>DZS CELKEM</t>
  </si>
  <si>
    <t>3299 - 38</t>
  </si>
  <si>
    <t>RB-KMENOVÁ ČINNOST</t>
  </si>
  <si>
    <t>3299 - 41</t>
  </si>
  <si>
    <t>ÚIV-KMENOVÁ ČINNOST</t>
  </si>
  <si>
    <t>3299 - 42</t>
  </si>
  <si>
    <t>ÚIV-PROJEKTY</t>
  </si>
  <si>
    <t>3299 - AB</t>
  </si>
  <si>
    <t>ÚIV-OST.MIMO  PROJEKTY A KMEN.ČINNOST</t>
  </si>
  <si>
    <t>ÚIV CELKEM</t>
  </si>
  <si>
    <t>3299 - 44</t>
  </si>
  <si>
    <t>NÚOV-KMENOVÁ ČINNOST</t>
  </si>
  <si>
    <t>3299 - 45</t>
  </si>
  <si>
    <t>NÚOV-PROJEKTY</t>
  </si>
  <si>
    <t>3299 - AC</t>
  </si>
  <si>
    <t>NÚOV-OST.MIMO PROJEKTY A KMEN.ČINNOST</t>
  </si>
  <si>
    <t>NÚOV CELKEM</t>
  </si>
  <si>
    <t>3299 - 47</t>
  </si>
  <si>
    <t>VÚP-KMENOVÁ ČINNOST</t>
  </si>
  <si>
    <t>3299 - 48</t>
  </si>
  <si>
    <t>VÚP-PROJEKTY</t>
  </si>
  <si>
    <t>3299 - AD</t>
  </si>
  <si>
    <t>VÚP-OST.MIMO PROJEKTY A KMEN.ČINNOST</t>
  </si>
  <si>
    <t>VÚP CELKEM</t>
  </si>
  <si>
    <t>3315 - 01</t>
  </si>
  <si>
    <t>MJAK-KMENOVÁ ČINNOST</t>
  </si>
  <si>
    <t>3315 - 05</t>
  </si>
  <si>
    <t>MJAK CELKEM</t>
  </si>
  <si>
    <t>3421 - 11</t>
  </si>
  <si>
    <t>NIDM-KMENOVÁ ČINNOST</t>
  </si>
  <si>
    <t>3421 - 12</t>
  </si>
  <si>
    <t>NIDM-NA MLÁDEŽ</t>
  </si>
  <si>
    <t>3421 - 17</t>
  </si>
  <si>
    <t>NIDM-OST.MIMO PROJ A KMEN. ČIN.</t>
  </si>
  <si>
    <t>NIDM CELKEM</t>
  </si>
  <si>
    <t>3314 - 01</t>
  </si>
  <si>
    <t>3314 - 03</t>
  </si>
  <si>
    <t>3314 - 07</t>
  </si>
  <si>
    <t>3299 - 53</t>
  </si>
  <si>
    <t>KJWF-KMENOVÁ ČINNOST</t>
  </si>
  <si>
    <t>KJWFCELKEM</t>
  </si>
  <si>
    <t>3299 - 59</t>
  </si>
  <si>
    <t>NIVD PRAHA-KMENOVÁ ČINNOST</t>
  </si>
  <si>
    <t>NIDV CELKEM</t>
  </si>
  <si>
    <t>3299 - 62</t>
  </si>
  <si>
    <t>PC TĚŠÍN-KMENOVÁ ČINNOST</t>
  </si>
  <si>
    <t>PC ČT CELKEM</t>
  </si>
  <si>
    <t>3299 - 56</t>
  </si>
  <si>
    <t>VKC-KMENOVÁ ČINNOST</t>
  </si>
  <si>
    <t>VKC CELKEM</t>
  </si>
  <si>
    <t>3411 - 01</t>
  </si>
  <si>
    <t>ADV CELKEM</t>
  </si>
  <si>
    <t>CELKEM</t>
  </si>
  <si>
    <t>UIV</t>
  </si>
  <si>
    <t>NUOV</t>
  </si>
  <si>
    <t>VUP</t>
  </si>
  <si>
    <t>PC CT</t>
  </si>
  <si>
    <t>ÚIV-VAV ÚČEL.PROSTŘ.-NPV</t>
  </si>
  <si>
    <t>ÚIV-VAV-POSK.ÚČEL.PROSTŘ.</t>
  </si>
  <si>
    <t>3809 - 36</t>
  </si>
  <si>
    <t>3809 - 25</t>
  </si>
  <si>
    <t>3315 - 03</t>
  </si>
  <si>
    <t>MJAK - projekty</t>
  </si>
  <si>
    <t>3299 - C6</t>
  </si>
  <si>
    <t>NIDM -soutěže</t>
  </si>
  <si>
    <t>OBV ISPROFIN</t>
  </si>
  <si>
    <t>Tabulka č. 7</t>
  </si>
  <si>
    <t>Tabulka č. 8</t>
  </si>
  <si>
    <t>3146 - 02</t>
  </si>
  <si>
    <t>IPPP-KMENOVÁ ČINNOST</t>
  </si>
  <si>
    <t>3146 - 04</t>
  </si>
  <si>
    <t>IPPP-OST.VÝCH.ZAŘ. PROJEKTY</t>
  </si>
  <si>
    <t>3146 - 07</t>
  </si>
  <si>
    <t>IPPP-OST.VÝCH.ZAŘ.MIMO KM ČIN. A PROJ.</t>
  </si>
  <si>
    <t>3299 - C4</t>
  </si>
  <si>
    <t>3299 - CU</t>
  </si>
  <si>
    <t>IPPP - mezinárodní konference a semináře</t>
  </si>
  <si>
    <t>3541 - 01</t>
  </si>
  <si>
    <t>IPPP-PROTIDROGOVÁ POL.</t>
  </si>
  <si>
    <t>3299 - 14</t>
  </si>
  <si>
    <t>DZS 2007-13 programy EHP Norsko z rozp. EHP</t>
  </si>
  <si>
    <t>3299 - 13</t>
  </si>
  <si>
    <t>DZS 2007-13 programy EHP Norsko ze SR</t>
  </si>
  <si>
    <t>3299 - C2</t>
  </si>
  <si>
    <t>3299 - 46</t>
  </si>
  <si>
    <t>DZS OST.MEZ.KONF.A SEMINÁŘE</t>
  </si>
  <si>
    <t>3299 - 32</t>
  </si>
  <si>
    <t>DZS-KMENOVÁ ČINNOST</t>
  </si>
  <si>
    <t>3299 - 34</t>
  </si>
  <si>
    <t>DZS-PROJEKTY</t>
  </si>
  <si>
    <t>3299 - 36</t>
  </si>
  <si>
    <t>DZS-OST.MIMO  PROJEKTY A KMEN. ČINNOST</t>
  </si>
  <si>
    <t>3299 - 11</t>
  </si>
  <si>
    <t>DZS - NAEP</t>
  </si>
  <si>
    <t>3299 - AN</t>
  </si>
  <si>
    <t>DZS - ostatní - Evropské školy</t>
  </si>
  <si>
    <t>3299 - CW</t>
  </si>
  <si>
    <t>ÚIV - projekty OECD</t>
  </si>
  <si>
    <t>3299 - CE</t>
  </si>
  <si>
    <t>NÚOV - výdaje na předsednictví ČR v RE</t>
  </si>
  <si>
    <t>6221 - 04</t>
  </si>
  <si>
    <t>3292 - 02</t>
  </si>
  <si>
    <t>3299 - CN</t>
  </si>
  <si>
    <t>MJAK - výdaje na předsednictví ČR v RE</t>
  </si>
  <si>
    <t>3421 - 07</t>
  </si>
  <si>
    <t>3809 - 55</t>
  </si>
  <si>
    <t>KJWF inst. VaV mezinár. spolupráce</t>
  </si>
  <si>
    <t>3299 - 60</t>
  </si>
  <si>
    <t>NIVD PRAHA-PROJEKTY</t>
  </si>
  <si>
    <t>ESF a TP CELKEM IPPP</t>
  </si>
  <si>
    <t>ESF a TP CELKEM ÚIV</t>
  </si>
  <si>
    <t>ESF a TP CELKEM NÚOV</t>
  </si>
  <si>
    <t>ESF a TP CELKEM VÚP</t>
  </si>
  <si>
    <t>ESF a TP CELKEM NIDM</t>
  </si>
  <si>
    <t>ESF a TP CELKEM NIDV</t>
  </si>
  <si>
    <t>ESF a TP CELKEM VKC</t>
  </si>
  <si>
    <t>Rozdíl           + úspora          - překročení (ke sl. 2)</t>
  </si>
  <si>
    <t>Tabulka č. 1</t>
  </si>
  <si>
    <t>Tvorba</t>
  </si>
  <si>
    <t>rok 2008</t>
  </si>
  <si>
    <t>Tabulka č. 4</t>
  </si>
  <si>
    <t>Tabulka č. 5</t>
  </si>
  <si>
    <t>Tabulka č. 6</t>
  </si>
  <si>
    <t>Tabulka č.11</t>
  </si>
  <si>
    <t>Porovnání rozpočtu celkových nákladů a skutečnosti OPŘO za rok 2009</t>
  </si>
  <si>
    <t>NTK Praha</t>
  </si>
  <si>
    <t>CZVV Praha</t>
  </si>
  <si>
    <t>Porovnání rozpočtu ONIV celkem a skutečnosti OPŘO za rok 2009</t>
  </si>
  <si>
    <t>Porovnání rozpočtovaných výnosů se skutečností za rok 2009</t>
  </si>
  <si>
    <t>Přehled o hospodářských výsledcích OPŘO celkem za rok 2009</t>
  </si>
  <si>
    <t>Výsledek hospodaření OPŘO za rok 2009 - hlavní činnost</t>
  </si>
  <si>
    <t>NTK</t>
  </si>
  <si>
    <t>CZVV</t>
  </si>
  <si>
    <t>Výsledek hospodaření OPŘO za rok 2009 - jiná činnost</t>
  </si>
  <si>
    <t>Stav k 1.1.2008</t>
  </si>
  <si>
    <t>Stav k 31.12.2009</t>
  </si>
  <si>
    <t>Změna stavu za rok 2009 (4-1)</t>
  </si>
  <si>
    <t>Upravený rozpočet OPŘO na rok 2009 včetně nároků</t>
  </si>
  <si>
    <t>ESF a TP CELKEM CZVV</t>
  </si>
  <si>
    <t>CZVV CELKEM</t>
  </si>
  <si>
    <t>3299 - E5</t>
  </si>
  <si>
    <t>IPPP - rozvojové programy sk.6</t>
  </si>
  <si>
    <t>3299 - HN</t>
  </si>
  <si>
    <t>DZS - česko švýcarská spolupráce ze SR</t>
  </si>
  <si>
    <t>3299 - G2</t>
  </si>
  <si>
    <t>DZS - ISPROFIN</t>
  </si>
  <si>
    <t>3299 - F3</t>
  </si>
  <si>
    <t>DZS - projekty skupiny 3</t>
  </si>
  <si>
    <t>3299 - G6</t>
  </si>
  <si>
    <t>3299 - CF</t>
  </si>
  <si>
    <t>ÚIV - výdaje na předsednictví ČR v RE</t>
  </si>
  <si>
    <t>3299 - G4</t>
  </si>
  <si>
    <t>ÚIV - ISPROFIN</t>
  </si>
  <si>
    <t>3299 - HZ</t>
  </si>
  <si>
    <t>VÚP konference a semináře</t>
  </si>
  <si>
    <t>VÚP integrace cizinců</t>
  </si>
  <si>
    <t>PMJAK nár. menšiny a multikult.vých.</t>
  </si>
  <si>
    <t>NTK CELKEM</t>
  </si>
  <si>
    <t>3421 - 08</t>
  </si>
  <si>
    <t>ostatní soutěže mimo OPŘO</t>
  </si>
  <si>
    <t>3299 - G9</t>
  </si>
  <si>
    <t>3314 - 06</t>
  </si>
  <si>
    <t>3314 - 05</t>
  </si>
  <si>
    <t>3809 - 35</t>
  </si>
  <si>
    <t>NTK-KMENOVÁ ČINNOST</t>
  </si>
  <si>
    <t>NTK - výdaje ISPROFIN</t>
  </si>
  <si>
    <t>NTK-PROJEKTY</t>
  </si>
  <si>
    <t>NTK - projekty - infromační zdroje pro výzkum</t>
  </si>
  <si>
    <t>NTK-OST.MIMO  PROJ. A KMEN.ČIN.</t>
  </si>
  <si>
    <t>MJAK-OST.MIMO PROJ. A KMEN.ČIN.</t>
  </si>
  <si>
    <t>NTK-VAV-POSK.ÚČEL.PROSTŘ.</t>
  </si>
  <si>
    <t>NTK-převod z VPS na OPŘO projekty</t>
  </si>
  <si>
    <t>3299 - FY</t>
  </si>
  <si>
    <t>CZVV PO - kmenová činnost</t>
  </si>
  <si>
    <t>3299 - FZ</t>
  </si>
  <si>
    <t>CZVV - PO ostatní</t>
  </si>
  <si>
    <t>3299 - GH</t>
  </si>
  <si>
    <t>CZVV PO - ostatní z VPS</t>
  </si>
  <si>
    <t>ANTIDOPINGOVÝ VÝBOR-KMEN.ČIN.</t>
  </si>
  <si>
    <t>ESF a TP CELKEM US RB</t>
  </si>
  <si>
    <t>US RB CELKEM</t>
  </si>
  <si>
    <t xml:space="preserve">Celkový upravený rozpočet na projekty spolufinancované EU OPŘO na rok 2009 </t>
  </si>
  <si>
    <t>rok 2009</t>
  </si>
  <si>
    <t>Stav k 1.1.2009</t>
  </si>
  <si>
    <t>Stav po přídělu v r. 2010</t>
  </si>
  <si>
    <t>Peněžní fondy organizací po přídělu ze ZVH v r. 2010</t>
  </si>
  <si>
    <t>Běžný účet FKSP</t>
  </si>
  <si>
    <t>IPPP výdaje spojené s předsednictvím ČR v RE</t>
  </si>
  <si>
    <t>DZS - výdaje spojené s předsednictvím ČR v RE</t>
  </si>
  <si>
    <t>DZS - souhrn programů kulturního dědictví</t>
  </si>
  <si>
    <t>NIDM výdaje spojené s předsednictvím ČR v RE</t>
  </si>
  <si>
    <t>abs. rozdíl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</si>
</sst>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d/m/yy"/>
    <numFmt numFmtId="166" formatCode="d/m/yy\ h:mm"/>
    <numFmt numFmtId="167" formatCode="d/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0.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dd/mm/yy"/>
    <numFmt numFmtId="181" formatCode="000\ 00"/>
    <numFmt numFmtId="182" formatCode="0.0000000"/>
    <numFmt numFmtId="183" formatCode="0_ ;[Red]\-0\ "/>
    <numFmt numFmtId="184" formatCode="#,##0_ ;[Red]\-#,##0\ "/>
  </numFmts>
  <fonts count="35">
    <font>
      <sz val="10"/>
      <name val="Arial"/>
      <family val="0"/>
    </font>
    <font>
      <u val="single"/>
      <sz val="7.5"/>
      <color indexed="12"/>
      <name val="Arial CE"/>
      <family val="0"/>
    </font>
    <font>
      <sz val="10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i/>
      <sz val="12"/>
      <name val="Arial CE"/>
      <family val="0"/>
    </font>
    <font>
      <sz val="12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 CE"/>
      <family val="0"/>
    </font>
    <font>
      <sz val="8"/>
      <name val="Arial"/>
      <family val="0"/>
    </font>
    <font>
      <i/>
      <sz val="10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485">
    <xf numFmtId="0" fontId="0" fillId="0" borderId="0" xfId="0" applyAlignment="1">
      <alignment/>
    </xf>
    <xf numFmtId="0" fontId="2" fillId="0" borderId="0" xfId="47">
      <alignment/>
      <protection/>
    </xf>
    <xf numFmtId="0" fontId="4" fillId="0" borderId="0" xfId="49" applyFont="1">
      <alignment/>
      <protection/>
    </xf>
    <xf numFmtId="0" fontId="4" fillId="0" borderId="0" xfId="47" applyFont="1">
      <alignment/>
      <protection/>
    </xf>
    <xf numFmtId="0" fontId="2" fillId="0" borderId="0" xfId="47" applyFont="1">
      <alignment/>
      <protection/>
    </xf>
    <xf numFmtId="0" fontId="5" fillId="0" borderId="10" xfId="47" applyFont="1" applyBorder="1" applyAlignment="1">
      <alignment horizontal="center" vertical="center" wrapText="1"/>
      <protection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0" xfId="47" applyFont="1" applyAlignment="1">
      <alignment horizontal="center" vertical="center" wrapText="1"/>
      <protection/>
    </xf>
    <xf numFmtId="0" fontId="5" fillId="0" borderId="12" xfId="47" applyFont="1" applyBorder="1" applyAlignment="1">
      <alignment horizontal="center" vertical="center" wrapText="1"/>
      <protection/>
    </xf>
    <xf numFmtId="0" fontId="5" fillId="0" borderId="13" xfId="47" applyFont="1" applyBorder="1" applyAlignment="1">
      <alignment horizontal="center"/>
      <protection/>
    </xf>
    <xf numFmtId="0" fontId="5" fillId="0" borderId="14" xfId="47" applyFont="1" applyBorder="1" applyAlignment="1">
      <alignment horizontal="center"/>
      <protection/>
    </xf>
    <xf numFmtId="0" fontId="5" fillId="0" borderId="15" xfId="47" applyFont="1" applyBorder="1" applyAlignment="1">
      <alignment horizontal="center"/>
      <protection/>
    </xf>
    <xf numFmtId="0" fontId="5" fillId="0" borderId="16" xfId="47" applyFont="1" applyBorder="1">
      <alignment/>
      <protection/>
    </xf>
    <xf numFmtId="4" fontId="2" fillId="0" borderId="17" xfId="47" applyNumberFormat="1" applyBorder="1">
      <alignment/>
      <protection/>
    </xf>
    <xf numFmtId="4" fontId="2" fillId="0" borderId="18" xfId="47" applyNumberFormat="1" applyBorder="1">
      <alignment/>
      <protection/>
    </xf>
    <xf numFmtId="2" fontId="2" fillId="0" borderId="0" xfId="47" applyNumberFormat="1">
      <alignment/>
      <protection/>
    </xf>
    <xf numFmtId="0" fontId="5" fillId="0" borderId="19" xfId="47" applyFont="1" applyBorder="1">
      <alignment/>
      <protection/>
    </xf>
    <xf numFmtId="3" fontId="2" fillId="0" borderId="20" xfId="47" applyNumberFormat="1" applyBorder="1">
      <alignment/>
      <protection/>
    </xf>
    <xf numFmtId="4" fontId="2" fillId="0" borderId="20" xfId="47" applyNumberFormat="1" applyBorder="1">
      <alignment/>
      <protection/>
    </xf>
    <xf numFmtId="4" fontId="2" fillId="0" borderId="21" xfId="47" applyNumberFormat="1" applyBorder="1">
      <alignment/>
      <protection/>
    </xf>
    <xf numFmtId="0" fontId="5" fillId="0" borderId="22" xfId="47" applyFont="1" applyBorder="1">
      <alignment/>
      <protection/>
    </xf>
    <xf numFmtId="4" fontId="2" fillId="0" borderId="23" xfId="47" applyNumberFormat="1" applyBorder="1">
      <alignment/>
      <protection/>
    </xf>
    <xf numFmtId="4" fontId="2" fillId="0" borderId="24" xfId="47" applyNumberFormat="1" applyBorder="1">
      <alignment/>
      <protection/>
    </xf>
    <xf numFmtId="0" fontId="5" fillId="0" borderId="10" xfId="47" applyFont="1" applyBorder="1">
      <alignment/>
      <protection/>
    </xf>
    <xf numFmtId="2" fontId="5" fillId="0" borderId="10" xfId="47" applyNumberFormat="1" applyFont="1" applyBorder="1" applyAlignment="1">
      <alignment horizontal="right"/>
      <protection/>
    </xf>
    <xf numFmtId="4" fontId="5" fillId="0" borderId="10" xfId="47" applyNumberFormat="1" applyFont="1" applyBorder="1">
      <alignment/>
      <protection/>
    </xf>
    <xf numFmtId="0" fontId="5" fillId="0" borderId="10" xfId="47" applyFont="1" applyBorder="1" applyAlignment="1">
      <alignment horizontal="center" vertical="center" wrapText="1"/>
      <protection/>
    </xf>
    <xf numFmtId="4" fontId="5" fillId="0" borderId="10" xfId="47" applyNumberFormat="1" applyFont="1" applyBorder="1" applyAlignment="1">
      <alignment horizontal="right"/>
      <protection/>
    </xf>
    <xf numFmtId="4" fontId="2" fillId="0" borderId="21" xfId="47" applyNumberFormat="1" applyFont="1" applyBorder="1">
      <alignment/>
      <protection/>
    </xf>
    <xf numFmtId="0" fontId="5" fillId="0" borderId="0" xfId="47" applyFont="1" applyBorder="1">
      <alignment/>
      <protection/>
    </xf>
    <xf numFmtId="4" fontId="5" fillId="0" borderId="0" xfId="47" applyNumberFormat="1" applyFont="1" applyBorder="1" applyAlignment="1">
      <alignment horizontal="right"/>
      <protection/>
    </xf>
    <xf numFmtId="4" fontId="5" fillId="0" borderId="0" xfId="47" applyNumberFormat="1" applyFont="1" applyBorder="1">
      <alignment/>
      <protection/>
    </xf>
    <xf numFmtId="0" fontId="5" fillId="0" borderId="10" xfId="47" applyFont="1" applyBorder="1" applyAlignment="1">
      <alignment horizontal="center"/>
      <protection/>
    </xf>
    <xf numFmtId="4" fontId="2" fillId="0" borderId="25" xfId="47" applyNumberFormat="1" applyBorder="1" applyAlignment="1">
      <alignment horizontal="right"/>
      <protection/>
    </xf>
    <xf numFmtId="4" fontId="2" fillId="0" borderId="17" xfId="47" applyNumberFormat="1" applyFont="1" applyBorder="1">
      <alignment/>
      <protection/>
    </xf>
    <xf numFmtId="4" fontId="2" fillId="0" borderId="18" xfId="47" applyNumberFormat="1" applyFont="1" applyBorder="1">
      <alignment/>
      <protection/>
    </xf>
    <xf numFmtId="4" fontId="2" fillId="0" borderId="26" xfId="47" applyNumberFormat="1" applyBorder="1" applyAlignment="1">
      <alignment horizontal="right"/>
      <protection/>
    </xf>
    <xf numFmtId="4" fontId="2" fillId="0" borderId="20" xfId="47" applyNumberFormat="1" applyFont="1" applyBorder="1">
      <alignment/>
      <protection/>
    </xf>
    <xf numFmtId="4" fontId="5" fillId="0" borderId="27" xfId="47" applyNumberFormat="1" applyFont="1" applyBorder="1" applyAlignment="1">
      <alignment horizontal="right"/>
      <protection/>
    </xf>
    <xf numFmtId="0" fontId="5" fillId="0" borderId="0" xfId="50" applyFont="1" applyAlignment="1">
      <alignment horizontal="right"/>
      <protection/>
    </xf>
    <xf numFmtId="0" fontId="2" fillId="0" borderId="14" xfId="47" applyBorder="1">
      <alignment/>
      <protection/>
    </xf>
    <xf numFmtId="0" fontId="2" fillId="0" borderId="28" xfId="47" applyBorder="1">
      <alignment/>
      <protection/>
    </xf>
    <xf numFmtId="0" fontId="2" fillId="0" borderId="29" xfId="47" applyBorder="1">
      <alignment/>
      <protection/>
    </xf>
    <xf numFmtId="0" fontId="5" fillId="0" borderId="11" xfId="47" applyFont="1" applyBorder="1">
      <alignment/>
      <protection/>
    </xf>
    <xf numFmtId="0" fontId="2" fillId="0" borderId="27" xfId="47" applyBorder="1">
      <alignment/>
      <protection/>
    </xf>
    <xf numFmtId="0" fontId="5" fillId="0" borderId="30" xfId="47" applyFont="1" applyBorder="1" applyAlignment="1">
      <alignment horizontal="center" vertical="center" wrapText="1"/>
      <protection/>
    </xf>
    <xf numFmtId="0" fontId="5" fillId="0" borderId="31" xfId="47" applyFont="1" applyBorder="1" applyAlignment="1">
      <alignment horizontal="center" vertical="center" wrapText="1"/>
      <protection/>
    </xf>
    <xf numFmtId="0" fontId="2" fillId="0" borderId="12" xfId="47" applyBorder="1" applyAlignment="1">
      <alignment horizontal="center" vertical="center" wrapText="1"/>
      <protection/>
    </xf>
    <xf numFmtId="0" fontId="2" fillId="0" borderId="0" xfId="47" applyBorder="1">
      <alignment/>
      <protection/>
    </xf>
    <xf numFmtId="0" fontId="2" fillId="0" borderId="32" xfId="47" applyBorder="1" applyAlignment="1">
      <alignment horizontal="center"/>
      <protection/>
    </xf>
    <xf numFmtId="4" fontId="2" fillId="0" borderId="0" xfId="47" applyNumberFormat="1">
      <alignment/>
      <protection/>
    </xf>
    <xf numFmtId="0" fontId="2" fillId="0" borderId="33" xfId="47" applyBorder="1" applyAlignment="1">
      <alignment horizontal="center"/>
      <protection/>
    </xf>
    <xf numFmtId="0" fontId="2" fillId="0" borderId="34" xfId="47" applyBorder="1" applyAlignment="1">
      <alignment horizontal="center"/>
      <protection/>
    </xf>
    <xf numFmtId="0" fontId="5" fillId="24" borderId="19" xfId="47" applyFont="1" applyFill="1" applyBorder="1">
      <alignment/>
      <protection/>
    </xf>
    <xf numFmtId="0" fontId="2" fillId="24" borderId="34" xfId="47" applyFill="1" applyBorder="1" applyAlignment="1">
      <alignment horizontal="center"/>
      <protection/>
    </xf>
    <xf numFmtId="4" fontId="2" fillId="24" borderId="20" xfId="47" applyNumberFormat="1" applyFill="1" applyBorder="1">
      <alignment/>
      <protection/>
    </xf>
    <xf numFmtId="4" fontId="2" fillId="24" borderId="23" xfId="47" applyNumberFormat="1" applyFill="1" applyBorder="1">
      <alignment/>
      <protection/>
    </xf>
    <xf numFmtId="4" fontId="2" fillId="24" borderId="24" xfId="47" applyNumberFormat="1" applyFill="1" applyBorder="1">
      <alignment/>
      <protection/>
    </xf>
    <xf numFmtId="0" fontId="2" fillId="24" borderId="0" xfId="47" applyFill="1">
      <alignment/>
      <protection/>
    </xf>
    <xf numFmtId="4" fontId="5" fillId="0" borderId="29" xfId="47" applyNumberFormat="1" applyFont="1" applyBorder="1">
      <alignment/>
      <protection/>
    </xf>
    <xf numFmtId="0" fontId="2" fillId="0" borderId="17" xfId="47" applyBorder="1" applyAlignment="1">
      <alignment horizontal="center"/>
      <protection/>
    </xf>
    <xf numFmtId="0" fontId="2" fillId="0" borderId="20" xfId="47" applyBorder="1" applyAlignment="1">
      <alignment horizontal="center"/>
      <protection/>
    </xf>
    <xf numFmtId="0" fontId="2" fillId="0" borderId="23" xfId="47" applyBorder="1" applyAlignment="1">
      <alignment horizontal="center"/>
      <protection/>
    </xf>
    <xf numFmtId="0" fontId="2" fillId="24" borderId="20" xfId="47" applyFill="1" applyBorder="1" applyAlignment="1">
      <alignment horizontal="center"/>
      <protection/>
    </xf>
    <xf numFmtId="0" fontId="2" fillId="24" borderId="23" xfId="47" applyFill="1" applyBorder="1" applyAlignment="1">
      <alignment horizontal="center"/>
      <protection/>
    </xf>
    <xf numFmtId="0" fontId="2" fillId="0" borderId="14" xfId="47" applyBorder="1" applyAlignment="1">
      <alignment horizontal="center" vertical="center" wrapText="1"/>
      <protection/>
    </xf>
    <xf numFmtId="0" fontId="5" fillId="0" borderId="35" xfId="47" applyFont="1" applyBorder="1">
      <alignment/>
      <protection/>
    </xf>
    <xf numFmtId="0" fontId="2" fillId="0" borderId="36" xfId="47" applyBorder="1">
      <alignment/>
      <protection/>
    </xf>
    <xf numFmtId="4" fontId="5" fillId="0" borderId="16" xfId="47" applyNumberFormat="1" applyFont="1" applyBorder="1">
      <alignment/>
      <protection/>
    </xf>
    <xf numFmtId="3" fontId="5" fillId="0" borderId="16" xfId="47" applyNumberFormat="1" applyFont="1" applyBorder="1">
      <alignment/>
      <protection/>
    </xf>
    <xf numFmtId="4" fontId="5" fillId="0" borderId="35" xfId="47" applyNumberFormat="1" applyFont="1" applyBorder="1">
      <alignment/>
      <protection/>
    </xf>
    <xf numFmtId="0" fontId="5" fillId="0" borderId="37" xfId="47" applyFont="1" applyBorder="1">
      <alignment/>
      <protection/>
    </xf>
    <xf numFmtId="0" fontId="2" fillId="0" borderId="26" xfId="47" applyBorder="1">
      <alignment/>
      <protection/>
    </xf>
    <xf numFmtId="3" fontId="5" fillId="0" borderId="19" xfId="47" applyNumberFormat="1" applyFont="1" applyBorder="1">
      <alignment/>
      <protection/>
    </xf>
    <xf numFmtId="4" fontId="5" fillId="0" borderId="19" xfId="47" applyNumberFormat="1" applyFont="1" applyBorder="1">
      <alignment/>
      <protection/>
    </xf>
    <xf numFmtId="4" fontId="5" fillId="0" borderId="37" xfId="47" applyNumberFormat="1" applyFont="1" applyBorder="1">
      <alignment/>
      <protection/>
    </xf>
    <xf numFmtId="0" fontId="5" fillId="0" borderId="38" xfId="47" applyFont="1" applyBorder="1">
      <alignment/>
      <protection/>
    </xf>
    <xf numFmtId="0" fontId="2" fillId="0" borderId="37" xfId="47" applyBorder="1">
      <alignment/>
      <protection/>
    </xf>
    <xf numFmtId="0" fontId="5" fillId="0" borderId="39" xfId="47" applyFont="1" applyBorder="1">
      <alignment/>
      <protection/>
    </xf>
    <xf numFmtId="3" fontId="5" fillId="0" borderId="37" xfId="47" applyNumberFormat="1" applyFont="1" applyBorder="1">
      <alignment/>
      <protection/>
    </xf>
    <xf numFmtId="0" fontId="2" fillId="0" borderId="40" xfId="47" applyBorder="1">
      <alignment/>
      <protection/>
    </xf>
    <xf numFmtId="0" fontId="2" fillId="0" borderId="15" xfId="47" applyBorder="1">
      <alignment/>
      <protection/>
    </xf>
    <xf numFmtId="0" fontId="5" fillId="0" borderId="29" xfId="47" applyFont="1" applyBorder="1" applyAlignment="1">
      <alignment horizontal="center" vertical="center" wrapText="1"/>
      <protection/>
    </xf>
    <xf numFmtId="0" fontId="2" fillId="0" borderId="41" xfId="47" applyBorder="1">
      <alignment/>
      <protection/>
    </xf>
    <xf numFmtId="0" fontId="2" fillId="0" borderId="42" xfId="47" applyBorder="1">
      <alignment/>
      <protection/>
    </xf>
    <xf numFmtId="0" fontId="5" fillId="0" borderId="28" xfId="47" applyFont="1" applyBorder="1" applyAlignment="1">
      <alignment horizontal="center"/>
      <protection/>
    </xf>
    <xf numFmtId="4" fontId="2" fillId="0" borderId="36" xfId="47" applyNumberFormat="1" applyBorder="1">
      <alignment/>
      <protection/>
    </xf>
    <xf numFmtId="4" fontId="2" fillId="0" borderId="26" xfId="47" applyNumberFormat="1" applyBorder="1">
      <alignment/>
      <protection/>
    </xf>
    <xf numFmtId="4" fontId="2" fillId="24" borderId="26" xfId="47" applyNumberFormat="1" applyFill="1" applyBorder="1">
      <alignment/>
      <protection/>
    </xf>
    <xf numFmtId="4" fontId="2" fillId="24" borderId="21" xfId="47" applyNumberFormat="1" applyFill="1" applyBorder="1">
      <alignment/>
      <protection/>
    </xf>
    <xf numFmtId="3" fontId="2" fillId="24" borderId="20" xfId="47" applyNumberFormat="1" applyFill="1" applyBorder="1">
      <alignment/>
      <protection/>
    </xf>
    <xf numFmtId="3" fontId="2" fillId="24" borderId="21" xfId="47" applyNumberFormat="1" applyFill="1" applyBorder="1">
      <alignment/>
      <protection/>
    </xf>
    <xf numFmtId="4" fontId="2" fillId="24" borderId="43" xfId="47" applyNumberFormat="1" applyFill="1" applyBorder="1">
      <alignment/>
      <protection/>
    </xf>
    <xf numFmtId="0" fontId="5" fillId="24" borderId="10" xfId="47" applyFont="1" applyFill="1" applyBorder="1" applyAlignment="1">
      <alignment horizontal="center"/>
      <protection/>
    </xf>
    <xf numFmtId="4" fontId="5" fillId="24" borderId="27" xfId="47" applyNumberFormat="1" applyFont="1" applyFill="1" applyBorder="1">
      <alignment/>
      <protection/>
    </xf>
    <xf numFmtId="4" fontId="5" fillId="24" borderId="10" xfId="47" applyNumberFormat="1" applyFont="1" applyFill="1" applyBorder="1">
      <alignment/>
      <protection/>
    </xf>
    <xf numFmtId="4" fontId="2" fillId="24" borderId="20" xfId="47" applyNumberFormat="1" applyFont="1" applyFill="1" applyBorder="1">
      <alignment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52" applyFont="1" quotePrefix="1">
      <alignment/>
      <protection/>
    </xf>
    <xf numFmtId="0" fontId="8" fillId="0" borderId="0" xfId="48" applyFont="1">
      <alignment/>
      <protection/>
    </xf>
    <xf numFmtId="14" fontId="4" fillId="0" borderId="0" xfId="48" applyNumberFormat="1" applyFont="1" applyFill="1" quotePrefix="1">
      <alignment/>
      <protection/>
    </xf>
    <xf numFmtId="0" fontId="2" fillId="0" borderId="0" xfId="48">
      <alignment/>
      <protection/>
    </xf>
    <xf numFmtId="0" fontId="4" fillId="0" borderId="0" xfId="52" applyFont="1">
      <alignment/>
      <protection/>
    </xf>
    <xf numFmtId="14" fontId="4" fillId="0" borderId="0" xfId="48" applyNumberFormat="1" applyFont="1" quotePrefix="1">
      <alignment/>
      <protection/>
    </xf>
    <xf numFmtId="0" fontId="4" fillId="0" borderId="0" xfId="48" applyFont="1">
      <alignment/>
      <protection/>
    </xf>
    <xf numFmtId="0" fontId="4" fillId="0" borderId="0" xfId="48" applyFont="1" applyAlignment="1">
      <alignment horizontal="right"/>
      <protection/>
    </xf>
    <xf numFmtId="0" fontId="0" fillId="0" borderId="0" xfId="51">
      <alignment/>
      <protection/>
    </xf>
    <xf numFmtId="0" fontId="4" fillId="0" borderId="0" xfId="51" applyFont="1">
      <alignment/>
      <protection/>
    </xf>
    <xf numFmtId="0" fontId="2" fillId="0" borderId="0" xfId="52" applyFont="1" applyAlignment="1">
      <alignment horizontal="right"/>
      <protection/>
    </xf>
    <xf numFmtId="0" fontId="8" fillId="0" borderId="0" xfId="48" applyFont="1" applyFill="1">
      <alignment/>
      <protection/>
    </xf>
    <xf numFmtId="0" fontId="6" fillId="0" borderId="0" xfId="0" applyFont="1" applyAlignment="1">
      <alignment/>
    </xf>
    <xf numFmtId="0" fontId="0" fillId="0" borderId="44" xfId="0" applyBorder="1" applyAlignment="1">
      <alignment horizontal="center" wrapText="1"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3" fontId="6" fillId="0" borderId="21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0" borderId="19" xfId="50" applyFont="1" applyBorder="1">
      <alignment/>
      <protection/>
    </xf>
    <xf numFmtId="3" fontId="0" fillId="0" borderId="26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45" xfId="0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0" fontId="0" fillId="0" borderId="4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24" borderId="49" xfId="0" applyFill="1" applyBorder="1" applyAlignment="1">
      <alignment/>
    </xf>
    <xf numFmtId="3" fontId="0" fillId="24" borderId="25" xfId="0" applyNumberFormat="1" applyFill="1" applyBorder="1" applyAlignment="1">
      <alignment/>
    </xf>
    <xf numFmtId="3" fontId="0" fillId="24" borderId="44" xfId="0" applyNumberFormat="1" applyFill="1" applyBorder="1" applyAlignment="1">
      <alignment/>
    </xf>
    <xf numFmtId="3" fontId="0" fillId="24" borderId="50" xfId="0" applyNumberFormat="1" applyFill="1" applyBorder="1" applyAlignment="1">
      <alignment/>
    </xf>
    <xf numFmtId="3" fontId="0" fillId="24" borderId="51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37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24" borderId="19" xfId="0" applyNumberFormat="1" applyFill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24" borderId="26" xfId="0" applyNumberFormat="1" applyFill="1" applyBorder="1" applyAlignment="1">
      <alignment/>
    </xf>
    <xf numFmtId="0" fontId="6" fillId="0" borderId="52" xfId="0" applyFont="1" applyBorder="1" applyAlignment="1">
      <alignment/>
    </xf>
    <xf numFmtId="3" fontId="6" fillId="0" borderId="48" xfId="0" applyNumberFormat="1" applyFont="1" applyBorder="1" applyAlignment="1">
      <alignment/>
    </xf>
    <xf numFmtId="3" fontId="6" fillId="24" borderId="45" xfId="0" applyNumberFormat="1" applyFont="1" applyFill="1" applyBorder="1" applyAlignment="1">
      <alignment/>
    </xf>
    <xf numFmtId="3" fontId="6" fillId="0" borderId="45" xfId="0" applyNumberFormat="1" applyFont="1" applyBorder="1" applyAlignment="1">
      <alignment/>
    </xf>
    <xf numFmtId="0" fontId="2" fillId="0" borderId="0" xfId="50">
      <alignment/>
      <protection/>
    </xf>
    <xf numFmtId="0" fontId="13" fillId="0" borderId="0" xfId="50" applyFont="1">
      <alignment/>
      <protection/>
    </xf>
    <xf numFmtId="0" fontId="4" fillId="0" borderId="0" xfId="49" applyFont="1" applyAlignment="1">
      <alignment horizontal="right"/>
      <protection/>
    </xf>
    <xf numFmtId="0" fontId="4" fillId="0" borderId="0" xfId="50" applyFont="1">
      <alignment/>
      <protection/>
    </xf>
    <xf numFmtId="0" fontId="2" fillId="0" borderId="0" xfId="50" applyAlignment="1">
      <alignment horizontal="right"/>
      <protection/>
    </xf>
    <xf numFmtId="0" fontId="2" fillId="0" borderId="0" xfId="50" applyFont="1">
      <alignment/>
      <protection/>
    </xf>
    <xf numFmtId="0" fontId="4" fillId="0" borderId="10" xfId="50" applyFont="1" applyBorder="1" applyAlignment="1">
      <alignment horizontal="center" vertical="center" wrapText="1"/>
      <protection/>
    </xf>
    <xf numFmtId="0" fontId="5" fillId="0" borderId="29" xfId="50" applyFont="1" applyBorder="1" applyAlignment="1">
      <alignment horizontal="center" vertical="center" wrapText="1"/>
      <protection/>
    </xf>
    <xf numFmtId="0" fontId="5" fillId="0" borderId="53" xfId="50" applyFont="1" applyBorder="1" applyAlignment="1">
      <alignment horizontal="center" vertical="center" wrapText="1"/>
      <protection/>
    </xf>
    <xf numFmtId="0" fontId="5" fillId="0" borderId="54" xfId="50" applyFont="1" applyBorder="1" applyAlignment="1">
      <alignment horizontal="center" vertical="center" wrapText="1"/>
      <protection/>
    </xf>
    <xf numFmtId="0" fontId="2" fillId="0" borderId="55" xfId="50" applyBorder="1">
      <alignment/>
      <protection/>
    </xf>
    <xf numFmtId="0" fontId="5" fillId="0" borderId="13" xfId="50" applyFont="1" applyBorder="1" applyAlignment="1">
      <alignment horizontal="center"/>
      <protection/>
    </xf>
    <xf numFmtId="0" fontId="5" fillId="0" borderId="56" xfId="50" applyFont="1" applyBorder="1" applyAlignment="1">
      <alignment horizontal="center"/>
      <protection/>
    </xf>
    <xf numFmtId="0" fontId="5" fillId="0" borderId="54" xfId="50" applyFont="1" applyBorder="1" applyAlignment="1">
      <alignment horizontal="center"/>
      <protection/>
    </xf>
    <xf numFmtId="0" fontId="5" fillId="0" borderId="35" xfId="50" applyFont="1" applyFill="1" applyBorder="1">
      <alignment/>
      <protection/>
    </xf>
    <xf numFmtId="1" fontId="2" fillId="0" borderId="57" xfId="50" applyNumberFormat="1" applyFont="1" applyFill="1" applyBorder="1">
      <alignment/>
      <protection/>
    </xf>
    <xf numFmtId="1" fontId="2" fillId="0" borderId="17" xfId="50" applyNumberFormat="1" applyFont="1" applyFill="1" applyBorder="1">
      <alignment/>
      <protection/>
    </xf>
    <xf numFmtId="173" fontId="5" fillId="0" borderId="21" xfId="50" applyNumberFormat="1" applyFont="1" applyFill="1" applyBorder="1">
      <alignment/>
      <protection/>
    </xf>
    <xf numFmtId="0" fontId="5" fillId="0" borderId="37" xfId="50" applyFont="1" applyFill="1" applyBorder="1">
      <alignment/>
      <protection/>
    </xf>
    <xf numFmtId="1" fontId="2" fillId="0" borderId="38" xfId="50" applyNumberFormat="1" applyFont="1" applyFill="1" applyBorder="1">
      <alignment/>
      <protection/>
    </xf>
    <xf numFmtId="1" fontId="2" fillId="0" borderId="20" xfId="50" applyNumberFormat="1" applyFont="1" applyFill="1" applyBorder="1">
      <alignment/>
      <protection/>
    </xf>
    <xf numFmtId="0" fontId="5" fillId="0" borderId="37" xfId="50" applyFont="1" applyBorder="1">
      <alignment/>
      <protection/>
    </xf>
    <xf numFmtId="1" fontId="2" fillId="0" borderId="38" xfId="50" applyNumberFormat="1" applyFont="1" applyBorder="1">
      <alignment/>
      <protection/>
    </xf>
    <xf numFmtId="1" fontId="2" fillId="0" borderId="20" xfId="50" applyNumberFormat="1" applyFont="1" applyBorder="1">
      <alignment/>
      <protection/>
    </xf>
    <xf numFmtId="0" fontId="5" fillId="0" borderId="37" xfId="50" applyFont="1" applyBorder="1">
      <alignment/>
      <protection/>
    </xf>
    <xf numFmtId="0" fontId="6" fillId="0" borderId="37" xfId="0" applyFont="1" applyBorder="1" applyAlignment="1">
      <alignment/>
    </xf>
    <xf numFmtId="1" fontId="2" fillId="0" borderId="39" xfId="50" applyNumberFormat="1" applyFont="1" applyBorder="1">
      <alignment/>
      <protection/>
    </xf>
    <xf numFmtId="1" fontId="2" fillId="0" borderId="23" xfId="50" applyNumberFormat="1" applyFont="1" applyBorder="1">
      <alignment/>
      <protection/>
    </xf>
    <xf numFmtId="0" fontId="6" fillId="0" borderId="40" xfId="0" applyFont="1" applyBorder="1" applyAlignment="1">
      <alignment/>
    </xf>
    <xf numFmtId="173" fontId="5" fillId="0" borderId="24" xfId="50" applyNumberFormat="1" applyFont="1" applyFill="1" applyBorder="1">
      <alignment/>
      <protection/>
    </xf>
    <xf numFmtId="0" fontId="5" fillId="0" borderId="10" xfId="50" applyFont="1" applyBorder="1">
      <alignment/>
      <protection/>
    </xf>
    <xf numFmtId="1" fontId="4" fillId="0" borderId="29" xfId="50" applyNumberFormat="1" applyFont="1" applyBorder="1">
      <alignment/>
      <protection/>
    </xf>
    <xf numFmtId="1" fontId="4" fillId="0" borderId="53" xfId="50" applyNumberFormat="1" applyFont="1" applyBorder="1">
      <alignment/>
      <protection/>
    </xf>
    <xf numFmtId="173" fontId="4" fillId="0" borderId="54" xfId="50" applyNumberFormat="1" applyFont="1" applyFill="1" applyBorder="1">
      <alignment/>
      <protection/>
    </xf>
    <xf numFmtId="0" fontId="0" fillId="0" borderId="0" xfId="0" applyFill="1" applyAlignment="1">
      <alignment/>
    </xf>
    <xf numFmtId="0" fontId="4" fillId="0" borderId="0" xfId="50" applyFont="1">
      <alignment/>
      <protection/>
    </xf>
    <xf numFmtId="0" fontId="4" fillId="0" borderId="10" xfId="50" applyFont="1" applyBorder="1">
      <alignment/>
      <protection/>
    </xf>
    <xf numFmtId="0" fontId="16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0" fillId="0" borderId="35" xfId="0" applyBorder="1" applyAlignment="1">
      <alignment horizontal="center" textRotation="90"/>
    </xf>
    <xf numFmtId="0" fontId="0" fillId="0" borderId="36" xfId="0" applyBorder="1" applyAlignment="1">
      <alignment horizontal="center" textRotation="90"/>
    </xf>
    <xf numFmtId="0" fontId="0" fillId="0" borderId="35" xfId="0" applyFill="1" applyBorder="1" applyAlignment="1">
      <alignment horizontal="center" textRotation="90" wrapText="1"/>
    </xf>
    <xf numFmtId="0" fontId="0" fillId="0" borderId="58" xfId="0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0" fillId="0" borderId="52" xfId="0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vertical="top" wrapText="1"/>
    </xf>
    <xf numFmtId="0" fontId="0" fillId="0" borderId="46" xfId="0" applyFill="1" applyBorder="1" applyAlignment="1">
      <alignment horizontal="center" vertical="top" wrapText="1"/>
    </xf>
    <xf numFmtId="0" fontId="0" fillId="24" borderId="60" xfId="0" applyFill="1" applyBorder="1" applyAlignment="1">
      <alignment horizontal="center" vertical="top" wrapText="1"/>
    </xf>
    <xf numFmtId="0" fontId="0" fillId="24" borderId="52" xfId="0" applyFill="1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51" xfId="0" applyBorder="1" applyAlignment="1">
      <alignment horizontal="left"/>
    </xf>
    <xf numFmtId="0" fontId="0" fillId="0" borderId="50" xfId="0" applyBorder="1" applyAlignment="1">
      <alignment wrapText="1"/>
    </xf>
    <xf numFmtId="3" fontId="0" fillId="0" borderId="44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24" borderId="32" xfId="0" applyNumberFormat="1" applyFill="1" applyBorder="1" applyAlignment="1">
      <alignment/>
    </xf>
    <xf numFmtId="3" fontId="0" fillId="0" borderId="37" xfId="0" applyNumberFormat="1" applyBorder="1" applyAlignment="1">
      <alignment/>
    </xf>
    <xf numFmtId="3" fontId="0" fillId="0" borderId="49" xfId="0" applyNumberFormat="1" applyFill="1" applyBorder="1" applyAlignment="1">
      <alignment/>
    </xf>
    <xf numFmtId="4" fontId="0" fillId="0" borderId="49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wrapText="1"/>
    </xf>
    <xf numFmtId="3" fontId="0" fillId="0" borderId="33" xfId="0" applyNumberFormat="1" applyBorder="1" applyAlignment="1">
      <alignment/>
    </xf>
    <xf numFmtId="3" fontId="0" fillId="24" borderId="33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4" fontId="0" fillId="0" borderId="37" xfId="0" applyNumberFormat="1" applyBorder="1" applyAlignment="1">
      <alignment/>
    </xf>
    <xf numFmtId="3" fontId="0" fillId="24" borderId="61" xfId="0" applyNumberFormat="1" applyFill="1" applyBorder="1" applyAlignment="1">
      <alignment/>
    </xf>
    <xf numFmtId="0" fontId="6" fillId="19" borderId="62" xfId="0" applyFont="1" applyFill="1" applyBorder="1" applyAlignment="1">
      <alignment horizontal="left"/>
    </xf>
    <xf numFmtId="0" fontId="6" fillId="19" borderId="54" xfId="0" applyFont="1" applyFill="1" applyBorder="1" applyAlignment="1">
      <alignment wrapText="1"/>
    </xf>
    <xf numFmtId="3" fontId="6" fillId="19" borderId="10" xfId="0" applyNumberFormat="1" applyFont="1" applyFill="1" applyBorder="1" applyAlignment="1">
      <alignment/>
    </xf>
    <xf numFmtId="4" fontId="6" fillId="19" borderId="10" xfId="0" applyNumberFormat="1" applyFont="1" applyFill="1" applyBorder="1" applyAlignment="1">
      <alignment/>
    </xf>
    <xf numFmtId="3" fontId="6" fillId="19" borderId="53" xfId="0" applyNumberFormat="1" applyFont="1" applyFill="1" applyBorder="1" applyAlignment="1">
      <alignment/>
    </xf>
    <xf numFmtId="4" fontId="6" fillId="19" borderId="54" xfId="0" applyNumberFormat="1" applyFont="1" applyFill="1" applyBorder="1" applyAlignment="1">
      <alignment/>
    </xf>
    <xf numFmtId="0" fontId="0" fillId="24" borderId="58" xfId="0" applyFont="1" applyFill="1" applyBorder="1" applyAlignment="1">
      <alignment horizontal="left"/>
    </xf>
    <xf numFmtId="3" fontId="0" fillId="24" borderId="63" xfId="0" applyNumberFormat="1" applyFont="1" applyFill="1" applyBorder="1" applyAlignment="1">
      <alignment/>
    </xf>
    <xf numFmtId="3" fontId="0" fillId="24" borderId="64" xfId="0" applyNumberFormat="1" applyFont="1" applyFill="1" applyBorder="1" applyAlignment="1">
      <alignment/>
    </xf>
    <xf numFmtId="3" fontId="0" fillId="24" borderId="30" xfId="0" applyNumberFormat="1" applyFont="1" applyFill="1" applyBorder="1" applyAlignment="1">
      <alignment/>
    </xf>
    <xf numFmtId="3" fontId="0" fillId="24" borderId="65" xfId="0" applyNumberFormat="1" applyFont="1" applyFill="1" applyBorder="1" applyAlignment="1">
      <alignment/>
    </xf>
    <xf numFmtId="4" fontId="0" fillId="24" borderId="30" xfId="0" applyNumberFormat="1" applyFont="1" applyFill="1" applyBorder="1" applyAlignment="1">
      <alignment/>
    </xf>
    <xf numFmtId="3" fontId="6" fillId="19" borderId="66" xfId="0" applyNumberFormat="1" applyFont="1" applyFill="1" applyBorder="1" applyAlignment="1">
      <alignment/>
    </xf>
    <xf numFmtId="3" fontId="6" fillId="19" borderId="67" xfId="0" applyNumberFormat="1" applyFont="1" applyFill="1" applyBorder="1" applyAlignment="1">
      <alignment/>
    </xf>
    <xf numFmtId="0" fontId="0" fillId="0" borderId="51" xfId="0" applyFill="1" applyBorder="1" applyAlignment="1">
      <alignment horizontal="left"/>
    </xf>
    <xf numFmtId="0" fontId="0" fillId="0" borderId="50" xfId="0" applyFill="1" applyBorder="1" applyAlignment="1">
      <alignment wrapText="1"/>
    </xf>
    <xf numFmtId="3" fontId="0" fillId="0" borderId="20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5" xfId="0" applyNumberFormat="1" applyFill="1" applyBorder="1" applyAlignment="1">
      <alignment/>
    </xf>
    <xf numFmtId="4" fontId="0" fillId="0" borderId="35" xfId="0" applyNumberFormat="1" applyBorder="1" applyAlignment="1">
      <alignment/>
    </xf>
    <xf numFmtId="3" fontId="6" fillId="19" borderId="54" xfId="0" applyNumberFormat="1" applyFont="1" applyFill="1" applyBorder="1" applyAlignment="1">
      <alignment/>
    </xf>
    <xf numFmtId="0" fontId="0" fillId="24" borderId="62" xfId="0" applyFont="1" applyFill="1" applyBorder="1" applyAlignment="1">
      <alignment horizontal="left"/>
    </xf>
    <xf numFmtId="0" fontId="0" fillId="24" borderId="54" xfId="0" applyFont="1" applyFill="1" applyBorder="1" applyAlignment="1">
      <alignment wrapText="1"/>
    </xf>
    <xf numFmtId="3" fontId="0" fillId="24" borderId="53" xfId="0" applyNumberFormat="1" applyFont="1" applyFill="1" applyBorder="1" applyAlignment="1">
      <alignment/>
    </xf>
    <xf numFmtId="3" fontId="0" fillId="24" borderId="66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3" fontId="0" fillId="24" borderId="67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16" fillId="0" borderId="62" xfId="0" applyFont="1" applyFill="1" applyBorder="1" applyAlignment="1">
      <alignment horizontal="left"/>
    </xf>
    <xf numFmtId="0" fontId="16" fillId="0" borderId="54" xfId="0" applyFont="1" applyFill="1" applyBorder="1" applyAlignment="1">
      <alignment wrapText="1"/>
    </xf>
    <xf numFmtId="3" fontId="16" fillId="0" borderId="53" xfId="0" applyNumberFormat="1" applyFont="1" applyFill="1" applyBorder="1" applyAlignment="1">
      <alignment/>
    </xf>
    <xf numFmtId="4" fontId="16" fillId="0" borderId="53" xfId="0" applyNumberFormat="1" applyFont="1" applyFill="1" applyBorder="1" applyAlignment="1">
      <alignment/>
    </xf>
    <xf numFmtId="2" fontId="2" fillId="0" borderId="20" xfId="47" applyNumberFormat="1" applyBorder="1">
      <alignment/>
      <protection/>
    </xf>
    <xf numFmtId="2" fontId="2" fillId="24" borderId="20" xfId="47" applyNumberFormat="1" applyFill="1" applyBorder="1">
      <alignment/>
      <protection/>
    </xf>
    <xf numFmtId="2" fontId="2" fillId="24" borderId="23" xfId="47" applyNumberFormat="1" applyFill="1" applyBorder="1">
      <alignment/>
      <protection/>
    </xf>
    <xf numFmtId="176" fontId="2" fillId="0" borderId="20" xfId="47" applyNumberFormat="1" applyBorder="1">
      <alignment/>
      <protection/>
    </xf>
    <xf numFmtId="3" fontId="0" fillId="0" borderId="68" xfId="0" applyNumberFormat="1" applyFont="1" applyFill="1" applyBorder="1" applyAlignment="1">
      <alignment/>
    </xf>
    <xf numFmtId="3" fontId="0" fillId="0" borderId="44" xfId="0" applyNumberFormat="1" applyFill="1" applyBorder="1" applyAlignment="1">
      <alignment/>
    </xf>
    <xf numFmtId="0" fontId="0" fillId="19" borderId="29" xfId="0" applyFill="1" applyBorder="1" applyAlignment="1">
      <alignment/>
    </xf>
    <xf numFmtId="0" fontId="0" fillId="19" borderId="54" xfId="0" applyFill="1" applyBorder="1" applyAlignment="1">
      <alignment wrapText="1"/>
    </xf>
    <xf numFmtId="2" fontId="2" fillId="0" borderId="17" xfId="47" applyNumberFormat="1" applyBorder="1">
      <alignment/>
      <protection/>
    </xf>
    <xf numFmtId="2" fontId="2" fillId="0" borderId="23" xfId="47" applyNumberFormat="1" applyBorder="1">
      <alignment/>
      <protection/>
    </xf>
    <xf numFmtId="4" fontId="2" fillId="0" borderId="20" xfId="47" applyNumberFormat="1" applyFont="1" applyFill="1" applyBorder="1">
      <alignment/>
      <protection/>
    </xf>
    <xf numFmtId="0" fontId="0" fillId="0" borderId="59" xfId="0" applyFont="1" applyFill="1" applyBorder="1" applyAlignment="1">
      <alignment wrapText="1"/>
    </xf>
    <xf numFmtId="3" fontId="4" fillId="0" borderId="29" xfId="50" applyNumberFormat="1" applyFont="1" applyBorder="1">
      <alignment/>
      <protection/>
    </xf>
    <xf numFmtId="3" fontId="4" fillId="0" borderId="53" xfId="50" applyNumberFormat="1" applyFont="1" applyBorder="1">
      <alignment/>
      <protection/>
    </xf>
    <xf numFmtId="4" fontId="2" fillId="0" borderId="20" xfId="47" applyNumberFormat="1" applyFill="1" applyBorder="1">
      <alignment/>
      <protection/>
    </xf>
    <xf numFmtId="2" fontId="2" fillId="0" borderId="20" xfId="47" applyNumberFormat="1" applyFill="1" applyBorder="1">
      <alignment/>
      <protection/>
    </xf>
    <xf numFmtId="177" fontId="2" fillId="0" borderId="26" xfId="47" applyNumberFormat="1" applyBorder="1" applyAlignment="1">
      <alignment horizontal="right"/>
      <protection/>
    </xf>
    <xf numFmtId="0" fontId="5" fillId="0" borderId="19" xfId="47" applyFont="1" applyFill="1" applyBorder="1">
      <alignment/>
      <protection/>
    </xf>
    <xf numFmtId="0" fontId="0" fillId="24" borderId="32" xfId="0" applyFill="1" applyBorder="1" applyAlignment="1">
      <alignment horizontal="center" textRotation="90" wrapText="1"/>
    </xf>
    <xf numFmtId="0" fontId="5" fillId="0" borderId="57" xfId="47" applyFont="1" applyBorder="1">
      <alignment/>
      <protection/>
    </xf>
    <xf numFmtId="0" fontId="5" fillId="24" borderId="38" xfId="47" applyFont="1" applyFill="1" applyBorder="1">
      <alignment/>
      <protection/>
    </xf>
    <xf numFmtId="0" fontId="5" fillId="24" borderId="39" xfId="47" applyFont="1" applyFill="1" applyBorder="1">
      <alignment/>
      <protection/>
    </xf>
    <xf numFmtId="0" fontId="5" fillId="24" borderId="29" xfId="47" applyFont="1" applyFill="1" applyBorder="1">
      <alignment/>
      <protection/>
    </xf>
    <xf numFmtId="0" fontId="2" fillId="0" borderId="35" xfId="47" applyBorder="1" applyAlignment="1">
      <alignment horizontal="center"/>
      <protection/>
    </xf>
    <xf numFmtId="0" fontId="2" fillId="0" borderId="37" xfId="47" applyBorder="1" applyAlignment="1">
      <alignment horizontal="center"/>
      <protection/>
    </xf>
    <xf numFmtId="0" fontId="2" fillId="24" borderId="37" xfId="47" applyFill="1" applyBorder="1" applyAlignment="1">
      <alignment horizontal="center"/>
      <protection/>
    </xf>
    <xf numFmtId="4" fontId="2" fillId="0" borderId="36" xfId="47" applyNumberFormat="1" applyFont="1" applyBorder="1">
      <alignment/>
      <protection/>
    </xf>
    <xf numFmtId="4" fontId="2" fillId="0" borderId="26" xfId="47" applyNumberFormat="1" applyFont="1" applyBorder="1">
      <alignment/>
      <protection/>
    </xf>
    <xf numFmtId="4" fontId="5" fillId="0" borderId="27" xfId="47" applyNumberFormat="1" applyFont="1" applyBorder="1">
      <alignment/>
      <protection/>
    </xf>
    <xf numFmtId="0" fontId="2" fillId="0" borderId="69" xfId="47" applyBorder="1">
      <alignment/>
      <protection/>
    </xf>
    <xf numFmtId="0" fontId="2" fillId="0" borderId="70" xfId="47" applyBorder="1">
      <alignment/>
      <protection/>
    </xf>
    <xf numFmtId="0" fontId="5" fillId="16" borderId="62" xfId="0" applyFont="1" applyFill="1" applyBorder="1" applyAlignment="1">
      <alignment horizontal="center"/>
    </xf>
    <xf numFmtId="0" fontId="5" fillId="16" borderId="53" xfId="0" applyFont="1" applyFill="1" applyBorder="1" applyAlignment="1">
      <alignment/>
    </xf>
    <xf numFmtId="0" fontId="5" fillId="16" borderId="53" xfId="0" applyFont="1" applyFill="1" applyBorder="1" applyAlignment="1">
      <alignment horizontal="center"/>
    </xf>
    <xf numFmtId="0" fontId="5" fillId="16" borderId="67" xfId="0" applyFont="1" applyFill="1" applyBorder="1" applyAlignment="1">
      <alignment horizontal="center"/>
    </xf>
    <xf numFmtId="0" fontId="5" fillId="16" borderId="54" xfId="0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4" xfId="0" applyFont="1" applyBorder="1" applyAlignment="1">
      <alignment horizontal="center"/>
    </xf>
    <xf numFmtId="3" fontId="2" fillId="0" borderId="25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3" fontId="2" fillId="0" borderId="2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3" fontId="2" fillId="0" borderId="43" xfId="0" applyNumberFormat="1" applyFont="1" applyBorder="1" applyAlignment="1">
      <alignment/>
    </xf>
    <xf numFmtId="0" fontId="2" fillId="19" borderId="62" xfId="0" applyFont="1" applyFill="1" applyBorder="1" applyAlignment="1">
      <alignment horizontal="center"/>
    </xf>
    <xf numFmtId="0" fontId="2" fillId="19" borderId="53" xfId="0" applyFont="1" applyFill="1" applyBorder="1" applyAlignment="1">
      <alignment/>
    </xf>
    <xf numFmtId="0" fontId="2" fillId="19" borderId="53" xfId="0" applyFont="1" applyFill="1" applyBorder="1" applyAlignment="1">
      <alignment horizontal="center"/>
    </xf>
    <xf numFmtId="3" fontId="5" fillId="19" borderId="67" xfId="0" applyNumberFormat="1" applyFont="1" applyFill="1" applyBorder="1" applyAlignment="1">
      <alignment/>
    </xf>
    <xf numFmtId="3" fontId="5" fillId="19" borderId="54" xfId="0" applyNumberFormat="1" applyFont="1" applyFill="1" applyBorder="1" applyAlignment="1">
      <alignment/>
    </xf>
    <xf numFmtId="0" fontId="2" fillId="16" borderId="62" xfId="0" applyFont="1" applyFill="1" applyBorder="1" applyAlignment="1">
      <alignment horizontal="center"/>
    </xf>
    <xf numFmtId="0" fontId="2" fillId="16" borderId="53" xfId="0" applyFont="1" applyFill="1" applyBorder="1" applyAlignment="1">
      <alignment/>
    </xf>
    <xf numFmtId="0" fontId="2" fillId="16" borderId="53" xfId="0" applyFont="1" applyFill="1" applyBorder="1" applyAlignment="1">
      <alignment horizontal="center"/>
    </xf>
    <xf numFmtId="3" fontId="5" fillId="16" borderId="67" xfId="0" applyNumberFormat="1" applyFont="1" applyFill="1" applyBorder="1" applyAlignment="1">
      <alignment/>
    </xf>
    <xf numFmtId="3" fontId="5" fillId="16" borderId="54" xfId="0" applyNumberFormat="1" applyFont="1" applyFill="1" applyBorder="1" applyAlignment="1">
      <alignment/>
    </xf>
    <xf numFmtId="0" fontId="9" fillId="25" borderId="45" xfId="0" applyFont="1" applyFill="1" applyBorder="1" applyAlignment="1">
      <alignment horizontal="center"/>
    </xf>
    <xf numFmtId="0" fontId="9" fillId="25" borderId="46" xfId="0" applyFont="1" applyFill="1" applyBorder="1" applyAlignment="1">
      <alignment/>
    </xf>
    <xf numFmtId="0" fontId="9" fillId="25" borderId="46" xfId="0" applyFont="1" applyFill="1" applyBorder="1" applyAlignment="1">
      <alignment horizontal="center"/>
    </xf>
    <xf numFmtId="3" fontId="10" fillId="25" borderId="48" xfId="0" applyNumberFormat="1" applyFont="1" applyFill="1" applyBorder="1" applyAlignment="1">
      <alignment/>
    </xf>
    <xf numFmtId="3" fontId="10" fillId="25" borderId="47" xfId="0" applyNumberFormat="1" applyFont="1" applyFill="1" applyBorder="1" applyAlignment="1">
      <alignment/>
    </xf>
    <xf numFmtId="3" fontId="2" fillId="0" borderId="44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5" fillId="19" borderId="53" xfId="0" applyNumberFormat="1" applyFont="1" applyFill="1" applyBorder="1" applyAlignment="1">
      <alignment/>
    </xf>
    <xf numFmtId="3" fontId="5" fillId="16" borderId="53" xfId="0" applyNumberFormat="1" applyFont="1" applyFill="1" applyBorder="1" applyAlignment="1">
      <alignment/>
    </xf>
    <xf numFmtId="3" fontId="10" fillId="25" borderId="46" xfId="0" applyNumberFormat="1" applyFont="1" applyFill="1" applyBorder="1" applyAlignment="1">
      <alignment/>
    </xf>
    <xf numFmtId="0" fontId="0" fillId="10" borderId="35" xfId="0" applyFill="1" applyBorder="1" applyAlignment="1">
      <alignment horizontal="center" textRotation="90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wrapText="1"/>
    </xf>
    <xf numFmtId="3" fontId="0" fillId="0" borderId="63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0" fillId="0" borderId="30" xfId="0" applyNumberFormat="1" applyFill="1" applyBorder="1" applyAlignment="1">
      <alignment/>
    </xf>
    <xf numFmtId="4" fontId="0" fillId="0" borderId="30" xfId="0" applyNumberFormat="1" applyBorder="1" applyAlignment="1">
      <alignment/>
    </xf>
    <xf numFmtId="0" fontId="5" fillId="4" borderId="53" xfId="50" applyFont="1" applyFill="1" applyBorder="1" applyAlignment="1">
      <alignment horizontal="center" vertical="center" wrapText="1"/>
      <protection/>
    </xf>
    <xf numFmtId="0" fontId="5" fillId="4" borderId="56" xfId="50" applyFont="1" applyFill="1" applyBorder="1" applyAlignment="1">
      <alignment horizontal="center"/>
      <protection/>
    </xf>
    <xf numFmtId="1" fontId="2" fillId="4" borderId="17" xfId="50" applyNumberFormat="1" applyFont="1" applyFill="1" applyBorder="1">
      <alignment/>
      <protection/>
    </xf>
    <xf numFmtId="1" fontId="2" fillId="4" borderId="20" xfId="50" applyNumberFormat="1" applyFont="1" applyFill="1" applyBorder="1">
      <alignment/>
      <protection/>
    </xf>
    <xf numFmtId="1" fontId="2" fillId="4" borderId="23" xfId="50" applyNumberFormat="1" applyFont="1" applyFill="1" applyBorder="1">
      <alignment/>
      <protection/>
    </xf>
    <xf numFmtId="1" fontId="4" fillId="4" borderId="53" xfId="50" applyNumberFormat="1" applyFont="1" applyFill="1" applyBorder="1">
      <alignment/>
      <protection/>
    </xf>
    <xf numFmtId="4" fontId="0" fillId="0" borderId="49" xfId="0" applyNumberFormat="1" applyFill="1" applyBorder="1" applyAlignment="1">
      <alignment/>
    </xf>
    <xf numFmtId="0" fontId="6" fillId="10" borderId="62" xfId="0" applyFont="1" applyFill="1" applyBorder="1" applyAlignment="1">
      <alignment horizontal="left"/>
    </xf>
    <xf numFmtId="0" fontId="6" fillId="10" borderId="54" xfId="0" applyFont="1" applyFill="1" applyBorder="1" applyAlignment="1">
      <alignment/>
    </xf>
    <xf numFmtId="3" fontId="6" fillId="10" borderId="10" xfId="0" applyNumberFormat="1" applyFont="1" applyFill="1" applyBorder="1" applyAlignment="1">
      <alignment/>
    </xf>
    <xf numFmtId="4" fontId="6" fillId="10" borderId="10" xfId="0" applyNumberFormat="1" applyFont="1" applyFill="1" applyBorder="1" applyAlignment="1">
      <alignment/>
    </xf>
    <xf numFmtId="0" fontId="15" fillId="0" borderId="10" xfId="50" applyFont="1" applyBorder="1" applyAlignment="1">
      <alignment horizontal="center" vertical="center" wrapText="1"/>
      <protection/>
    </xf>
    <xf numFmtId="0" fontId="15" fillId="0" borderId="29" xfId="50" applyFont="1" applyBorder="1" applyAlignment="1">
      <alignment horizontal="center" vertical="center" wrapText="1"/>
      <protection/>
    </xf>
    <xf numFmtId="0" fontId="15" fillId="0" borderId="53" xfId="50" applyFont="1" applyBorder="1" applyAlignment="1">
      <alignment horizontal="center" vertical="center" wrapText="1"/>
      <protection/>
    </xf>
    <xf numFmtId="0" fontId="15" fillId="0" borderId="54" xfId="50" applyFont="1" applyBorder="1" applyAlignment="1">
      <alignment horizontal="center" vertical="center" wrapText="1"/>
      <protection/>
    </xf>
    <xf numFmtId="0" fontId="14" fillId="0" borderId="55" xfId="50" applyFont="1" applyBorder="1">
      <alignment/>
      <protection/>
    </xf>
    <xf numFmtId="0" fontId="15" fillId="0" borderId="13" xfId="50" applyFont="1" applyBorder="1" applyAlignment="1">
      <alignment horizontal="center"/>
      <protection/>
    </xf>
    <xf numFmtId="0" fontId="15" fillId="0" borderId="56" xfId="50" applyFont="1" applyBorder="1" applyAlignment="1">
      <alignment horizontal="center"/>
      <protection/>
    </xf>
    <xf numFmtId="0" fontId="15" fillId="0" borderId="54" xfId="50" applyFont="1" applyBorder="1" applyAlignment="1">
      <alignment horizontal="center"/>
      <protection/>
    </xf>
    <xf numFmtId="0" fontId="15" fillId="0" borderId="35" xfId="50" applyFont="1" applyFill="1" applyBorder="1">
      <alignment/>
      <protection/>
    </xf>
    <xf numFmtId="0" fontId="15" fillId="0" borderId="37" xfId="50" applyFont="1" applyFill="1" applyBorder="1">
      <alignment/>
      <protection/>
    </xf>
    <xf numFmtId="0" fontId="15" fillId="0" borderId="37" xfId="50" applyFont="1" applyBorder="1">
      <alignment/>
      <protection/>
    </xf>
    <xf numFmtId="0" fontId="15" fillId="0" borderId="37" xfId="50" applyFont="1" applyBorder="1">
      <alignment/>
      <protection/>
    </xf>
    <xf numFmtId="0" fontId="34" fillId="0" borderId="37" xfId="0" applyFont="1" applyBorder="1" applyAlignment="1">
      <alignment/>
    </xf>
    <xf numFmtId="0" fontId="34" fillId="0" borderId="40" xfId="0" applyFont="1" applyBorder="1" applyAlignment="1">
      <alignment/>
    </xf>
    <xf numFmtId="0" fontId="0" fillId="26" borderId="51" xfId="0" applyFill="1" applyBorder="1" applyAlignment="1">
      <alignment horizontal="left"/>
    </xf>
    <xf numFmtId="0" fontId="5" fillId="0" borderId="27" xfId="47" applyFont="1" applyBorder="1" applyAlignment="1">
      <alignment horizontal="center" vertical="center" wrapText="1"/>
      <protection/>
    </xf>
    <xf numFmtId="0" fontId="5" fillId="0" borderId="67" xfId="47" applyFont="1" applyBorder="1" applyAlignment="1">
      <alignment horizontal="center" vertical="center" wrapText="1"/>
      <protection/>
    </xf>
    <xf numFmtId="4" fontId="2" fillId="0" borderId="23" xfId="47" applyNumberFormat="1" applyFill="1" applyBorder="1">
      <alignment/>
      <protection/>
    </xf>
    <xf numFmtId="1" fontId="0" fillId="0" borderId="0" xfId="0" applyNumberFormat="1" applyFill="1" applyAlignment="1">
      <alignment/>
    </xf>
    <xf numFmtId="0" fontId="2" fillId="0" borderId="37" xfId="50" applyFont="1" applyFill="1" applyBorder="1">
      <alignment/>
      <protection/>
    </xf>
    <xf numFmtId="3" fontId="0" fillId="0" borderId="26" xfId="0" applyNumberFormat="1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4" fontId="5" fillId="0" borderId="10" xfId="47" applyNumberFormat="1" applyFont="1" applyFill="1" applyBorder="1">
      <alignment/>
      <protection/>
    </xf>
    <xf numFmtId="0" fontId="2" fillId="0" borderId="0" xfId="47" applyFill="1">
      <alignment/>
      <protection/>
    </xf>
    <xf numFmtId="0" fontId="5" fillId="0" borderId="14" xfId="47" applyFont="1" applyFill="1" applyBorder="1" applyAlignment="1">
      <alignment horizontal="center"/>
      <protection/>
    </xf>
    <xf numFmtId="4" fontId="2" fillId="0" borderId="17" xfId="47" applyNumberFormat="1" applyFill="1" applyBorder="1">
      <alignment/>
      <protection/>
    </xf>
    <xf numFmtId="0" fontId="0" fillId="0" borderId="57" xfId="0" applyBorder="1" applyAlignment="1">
      <alignment/>
    </xf>
    <xf numFmtId="0" fontId="0" fillId="0" borderId="71" xfId="0" applyBorder="1" applyAlignment="1">
      <alignment/>
    </xf>
    <xf numFmtId="3" fontId="14" fillId="17" borderId="17" xfId="50" applyNumberFormat="1" applyFont="1" applyFill="1" applyBorder="1">
      <alignment/>
      <protection/>
    </xf>
    <xf numFmtId="173" fontId="15" fillId="17" borderId="21" xfId="50" applyNumberFormat="1" applyFont="1" applyFill="1" applyBorder="1">
      <alignment/>
      <protection/>
    </xf>
    <xf numFmtId="3" fontId="14" fillId="17" borderId="20" xfId="50" applyNumberFormat="1" applyFont="1" applyFill="1" applyBorder="1">
      <alignment/>
      <protection/>
    </xf>
    <xf numFmtId="3" fontId="14" fillId="17" borderId="23" xfId="50" applyNumberFormat="1" applyFont="1" applyFill="1" applyBorder="1">
      <alignment/>
      <protection/>
    </xf>
    <xf numFmtId="173" fontId="15" fillId="17" borderId="24" xfId="50" applyNumberFormat="1" applyFont="1" applyFill="1" applyBorder="1">
      <alignment/>
      <protection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16" borderId="62" xfId="51" applyFont="1" applyFill="1" applyBorder="1" applyAlignment="1">
      <alignment horizontal="center"/>
      <protection/>
    </xf>
    <xf numFmtId="0" fontId="5" fillId="16" borderId="53" xfId="51" applyFont="1" applyFill="1" applyBorder="1">
      <alignment/>
      <protection/>
    </xf>
    <xf numFmtId="0" fontId="5" fillId="16" borderId="53" xfId="51" applyFont="1" applyFill="1" applyBorder="1" applyAlignment="1">
      <alignment horizontal="center"/>
      <protection/>
    </xf>
    <xf numFmtId="0" fontId="5" fillId="16" borderId="54" xfId="51" applyFont="1" applyFill="1" applyBorder="1" applyAlignment="1">
      <alignment horizontal="center"/>
      <protection/>
    </xf>
    <xf numFmtId="0" fontId="2" fillId="0" borderId="51" xfId="51" applyFont="1" applyBorder="1" applyAlignment="1">
      <alignment horizontal="center"/>
      <protection/>
    </xf>
    <xf numFmtId="0" fontId="2" fillId="0" borderId="44" xfId="51" applyFont="1" applyBorder="1">
      <alignment/>
      <protection/>
    </xf>
    <xf numFmtId="0" fontId="2" fillId="0" borderId="44" xfId="51" applyFont="1" applyBorder="1" applyAlignment="1">
      <alignment horizontal="center"/>
      <protection/>
    </xf>
    <xf numFmtId="3" fontId="2" fillId="0" borderId="50" xfId="51" applyNumberFormat="1" applyFont="1" applyBorder="1">
      <alignment/>
      <protection/>
    </xf>
    <xf numFmtId="0" fontId="2" fillId="0" borderId="19" xfId="51" applyFont="1" applyBorder="1" applyAlignment="1">
      <alignment horizontal="center"/>
      <protection/>
    </xf>
    <xf numFmtId="0" fontId="2" fillId="0" borderId="20" xfId="51" applyFont="1" applyBorder="1">
      <alignment/>
      <protection/>
    </xf>
    <xf numFmtId="0" fontId="2" fillId="0" borderId="20" xfId="51" applyFont="1" applyBorder="1" applyAlignment="1">
      <alignment horizontal="center"/>
      <protection/>
    </xf>
    <xf numFmtId="3" fontId="2" fillId="0" borderId="21" xfId="51" applyNumberFormat="1" applyFont="1" applyBorder="1">
      <alignment/>
      <protection/>
    </xf>
    <xf numFmtId="0" fontId="2" fillId="0" borderId="22" xfId="51" applyFont="1" applyBorder="1" applyAlignment="1">
      <alignment horizontal="center"/>
      <protection/>
    </xf>
    <xf numFmtId="0" fontId="2" fillId="0" borderId="23" xfId="51" applyFont="1" applyBorder="1">
      <alignment/>
      <protection/>
    </xf>
    <xf numFmtId="0" fontId="2" fillId="0" borderId="23" xfId="51" applyFont="1" applyBorder="1" applyAlignment="1">
      <alignment horizontal="center"/>
      <protection/>
    </xf>
    <xf numFmtId="0" fontId="2" fillId="19" borderId="62" xfId="51" applyFont="1" applyFill="1" applyBorder="1" applyAlignment="1">
      <alignment horizontal="center"/>
      <protection/>
    </xf>
    <xf numFmtId="0" fontId="2" fillId="19" borderId="53" xfId="51" applyFont="1" applyFill="1" applyBorder="1">
      <alignment/>
      <protection/>
    </xf>
    <xf numFmtId="0" fontId="2" fillId="19" borderId="53" xfId="51" applyFont="1" applyFill="1" applyBorder="1" applyAlignment="1">
      <alignment horizontal="center"/>
      <protection/>
    </xf>
    <xf numFmtId="3" fontId="5" fillId="19" borderId="54" xfId="51" applyNumberFormat="1" applyFont="1" applyFill="1" applyBorder="1">
      <alignment/>
      <protection/>
    </xf>
    <xf numFmtId="0" fontId="2" fillId="16" borderId="62" xfId="51" applyFont="1" applyFill="1" applyBorder="1" applyAlignment="1">
      <alignment horizontal="center"/>
      <protection/>
    </xf>
    <xf numFmtId="0" fontId="2" fillId="16" borderId="53" xfId="51" applyFont="1" applyFill="1" applyBorder="1">
      <alignment/>
      <protection/>
    </xf>
    <xf numFmtId="0" fontId="2" fillId="16" borderId="53" xfId="51" applyFont="1" applyFill="1" applyBorder="1" applyAlignment="1">
      <alignment horizontal="center"/>
      <protection/>
    </xf>
    <xf numFmtId="3" fontId="5" fillId="16" borderId="54" xfId="51" applyNumberFormat="1" applyFont="1" applyFill="1" applyBorder="1">
      <alignment/>
      <protection/>
    </xf>
    <xf numFmtId="0" fontId="9" fillId="25" borderId="45" xfId="51" applyFont="1" applyFill="1" applyBorder="1" applyAlignment="1">
      <alignment horizontal="center"/>
      <protection/>
    </xf>
    <xf numFmtId="0" fontId="9" fillId="25" borderId="46" xfId="51" applyFont="1" applyFill="1" applyBorder="1">
      <alignment/>
      <protection/>
    </xf>
    <xf numFmtId="0" fontId="9" fillId="25" borderId="46" xfId="51" applyFont="1" applyFill="1" applyBorder="1" applyAlignment="1">
      <alignment horizontal="center"/>
      <protection/>
    </xf>
    <xf numFmtId="3" fontId="10" fillId="25" borderId="47" xfId="51" applyNumberFormat="1" applyFont="1" applyFill="1" applyBorder="1">
      <alignment/>
      <protection/>
    </xf>
    <xf numFmtId="0" fontId="0" fillId="17" borderId="52" xfId="0" applyFill="1" applyBorder="1" applyAlignment="1">
      <alignment horizontal="center" vertical="top" wrapText="1"/>
    </xf>
    <xf numFmtId="3" fontId="0" fillId="24" borderId="18" xfId="0" applyNumberFormat="1" applyFill="1" applyBorder="1" applyAlignment="1">
      <alignment/>
    </xf>
    <xf numFmtId="3" fontId="0" fillId="24" borderId="21" xfId="0" applyNumberFormat="1" applyFill="1" applyBorder="1" applyAlignment="1">
      <alignment/>
    </xf>
    <xf numFmtId="3" fontId="6" fillId="10" borderId="62" xfId="0" applyNumberFormat="1" applyFont="1" applyFill="1" applyBorder="1" applyAlignment="1">
      <alignment/>
    </xf>
    <xf numFmtId="3" fontId="6" fillId="10" borderId="54" xfId="0" applyNumberFormat="1" applyFont="1" applyFill="1" applyBorder="1" applyAlignment="1">
      <alignment/>
    </xf>
    <xf numFmtId="3" fontId="6" fillId="10" borderId="53" xfId="0" applyNumberFormat="1" applyFont="1" applyFill="1" applyBorder="1" applyAlignment="1">
      <alignment/>
    </xf>
    <xf numFmtId="0" fontId="0" fillId="26" borderId="50" xfId="0" applyFill="1" applyBorder="1" applyAlignment="1">
      <alignment wrapText="1"/>
    </xf>
    <xf numFmtId="3" fontId="0" fillId="26" borderId="44" xfId="0" applyNumberFormat="1" applyFill="1" applyBorder="1" applyAlignment="1">
      <alignment/>
    </xf>
    <xf numFmtId="3" fontId="0" fillId="26" borderId="61" xfId="0" applyNumberFormat="1" applyFill="1" applyBorder="1" applyAlignment="1">
      <alignment/>
    </xf>
    <xf numFmtId="3" fontId="0" fillId="26" borderId="37" xfId="0" applyNumberFormat="1" applyFill="1" applyBorder="1" applyAlignment="1">
      <alignment/>
    </xf>
    <xf numFmtId="3" fontId="0" fillId="26" borderId="25" xfId="0" applyNumberFormat="1" applyFill="1" applyBorder="1" applyAlignment="1">
      <alignment/>
    </xf>
    <xf numFmtId="3" fontId="0" fillId="26" borderId="49" xfId="0" applyNumberFormat="1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21" xfId="0" applyFill="1" applyBorder="1" applyAlignment="1">
      <alignment wrapText="1"/>
    </xf>
    <xf numFmtId="0" fontId="6" fillId="0" borderId="62" xfId="0" applyFont="1" applyFill="1" applyBorder="1" applyAlignment="1">
      <alignment horizontal="left"/>
    </xf>
    <xf numFmtId="0" fontId="6" fillId="0" borderId="54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76" fontId="0" fillId="0" borderId="62" xfId="0" applyNumberFormat="1" applyFont="1" applyFill="1" applyBorder="1" applyAlignment="1">
      <alignment/>
    </xf>
    <xf numFmtId="176" fontId="0" fillId="0" borderId="53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4" fontId="0" fillId="0" borderId="53" xfId="0" applyNumberFormat="1" applyFont="1" applyFill="1" applyBorder="1" applyAlignment="1">
      <alignment/>
    </xf>
    <xf numFmtId="176" fontId="0" fillId="0" borderId="66" xfId="0" applyNumberFormat="1" applyFont="1" applyFill="1" applyBorder="1" applyAlignment="1">
      <alignment/>
    </xf>
    <xf numFmtId="176" fontId="0" fillId="0" borderId="67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3" fontId="14" fillId="0" borderId="57" xfId="50" applyNumberFormat="1" applyFont="1" applyFill="1" applyBorder="1">
      <alignment/>
      <protection/>
    </xf>
    <xf numFmtId="3" fontId="14" fillId="0" borderId="38" xfId="50" applyNumberFormat="1" applyFont="1" applyFill="1" applyBorder="1">
      <alignment/>
      <protection/>
    </xf>
    <xf numFmtId="3" fontId="14" fillId="0" borderId="39" xfId="50" applyNumberFormat="1" applyFont="1" applyFill="1" applyBorder="1">
      <alignment/>
      <protection/>
    </xf>
    <xf numFmtId="1" fontId="2" fillId="0" borderId="39" xfId="50" applyNumberFormat="1" applyFont="1" applyFill="1" applyBorder="1">
      <alignment/>
      <protection/>
    </xf>
    <xf numFmtId="4" fontId="2" fillId="0" borderId="44" xfId="47" applyNumberFormat="1" applyBorder="1">
      <alignment/>
      <protection/>
    </xf>
    <xf numFmtId="4" fontId="2" fillId="0" borderId="50" xfId="47" applyNumberFormat="1" applyBorder="1">
      <alignment/>
      <protection/>
    </xf>
    <xf numFmtId="0" fontId="4" fillId="0" borderId="0" xfId="49" applyFont="1" applyFill="1">
      <alignment/>
      <protection/>
    </xf>
    <xf numFmtId="0" fontId="5" fillId="0" borderId="0" xfId="50" applyFont="1" applyFill="1" applyAlignment="1">
      <alignment horizontal="right"/>
      <protection/>
    </xf>
    <xf numFmtId="0" fontId="2" fillId="0" borderId="0" xfId="47" applyFont="1" applyFill="1">
      <alignment/>
      <protection/>
    </xf>
    <xf numFmtId="0" fontId="2" fillId="0" borderId="29" xfId="47" applyFill="1" applyBorder="1">
      <alignment/>
      <protection/>
    </xf>
    <xf numFmtId="0" fontId="5" fillId="0" borderId="11" xfId="47" applyFont="1" applyFill="1" applyBorder="1">
      <alignment/>
      <protection/>
    </xf>
    <xf numFmtId="0" fontId="2" fillId="0" borderId="27" xfId="47" applyFill="1" applyBorder="1">
      <alignment/>
      <protection/>
    </xf>
    <xf numFmtId="0" fontId="5" fillId="0" borderId="10" xfId="47" applyFont="1" applyFill="1" applyBorder="1" applyAlignment="1">
      <alignment horizontal="center" vertical="center" wrapText="1"/>
      <protection/>
    </xf>
    <xf numFmtId="0" fontId="5" fillId="0" borderId="10" xfId="47" applyFont="1" applyFill="1" applyBorder="1" applyAlignment="1">
      <alignment horizontal="center"/>
      <protection/>
    </xf>
    <xf numFmtId="4" fontId="2" fillId="0" borderId="44" xfId="47" applyNumberFormat="1" applyFill="1" applyBorder="1">
      <alignment/>
      <protection/>
    </xf>
    <xf numFmtId="4" fontId="2" fillId="0" borderId="18" xfId="47" applyNumberFormat="1" applyFill="1" applyBorder="1">
      <alignment/>
      <protection/>
    </xf>
    <xf numFmtId="3" fontId="2" fillId="0" borderId="20" xfId="47" applyNumberFormat="1" applyFill="1" applyBorder="1">
      <alignment/>
      <protection/>
    </xf>
    <xf numFmtId="4" fontId="2" fillId="0" borderId="21" xfId="47" applyNumberFormat="1" applyFill="1" applyBorder="1">
      <alignment/>
      <protection/>
    </xf>
    <xf numFmtId="4" fontId="2" fillId="0" borderId="24" xfId="47" applyNumberFormat="1" applyFill="1" applyBorder="1">
      <alignment/>
      <protection/>
    </xf>
    <xf numFmtId="4" fontId="5" fillId="0" borderId="29" xfId="47" applyNumberFormat="1" applyFont="1" applyFill="1" applyBorder="1">
      <alignment/>
      <protection/>
    </xf>
    <xf numFmtId="4" fontId="2" fillId="0" borderId="21" xfId="47" applyNumberFormat="1" applyFont="1" applyFill="1" applyBorder="1">
      <alignment/>
      <protection/>
    </xf>
    <xf numFmtId="4" fontId="5" fillId="0" borderId="16" xfId="47" applyNumberFormat="1" applyFont="1" applyFill="1" applyBorder="1">
      <alignment/>
      <protection/>
    </xf>
    <xf numFmtId="3" fontId="5" fillId="0" borderId="16" xfId="47" applyNumberFormat="1" applyFont="1" applyFill="1" applyBorder="1">
      <alignment/>
      <protection/>
    </xf>
    <xf numFmtId="4" fontId="5" fillId="0" borderId="35" xfId="47" applyNumberFormat="1" applyFont="1" applyFill="1" applyBorder="1">
      <alignment/>
      <protection/>
    </xf>
    <xf numFmtId="3" fontId="5" fillId="0" borderId="19" xfId="47" applyNumberFormat="1" applyFont="1" applyFill="1" applyBorder="1">
      <alignment/>
      <protection/>
    </xf>
    <xf numFmtId="4" fontId="5" fillId="0" borderId="19" xfId="47" applyNumberFormat="1" applyFont="1" applyFill="1" applyBorder="1">
      <alignment/>
      <protection/>
    </xf>
    <xf numFmtId="4" fontId="5" fillId="0" borderId="37" xfId="47" applyNumberFormat="1" applyFont="1" applyFill="1" applyBorder="1">
      <alignment/>
      <protection/>
    </xf>
    <xf numFmtId="3" fontId="5" fillId="0" borderId="37" xfId="47" applyNumberFormat="1" applyFont="1" applyFill="1" applyBorder="1">
      <alignment/>
      <protection/>
    </xf>
    <xf numFmtId="0" fontId="5" fillId="0" borderId="11" xfId="47" applyFont="1" applyFill="1" applyBorder="1" applyAlignment="1">
      <alignment horizontal="center" vertical="center" wrapText="1"/>
      <protection/>
    </xf>
    <xf numFmtId="0" fontId="6" fillId="0" borderId="2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35" xfId="0" applyFill="1" applyBorder="1" applyAlignment="1">
      <alignment horizontal="center" textRotation="90"/>
    </xf>
    <xf numFmtId="0" fontId="0" fillId="0" borderId="15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0" fillId="0" borderId="36" xfId="0" applyBorder="1" applyAlignment="1">
      <alignment horizontal="center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Fondy" xfId="47"/>
    <cellStyle name="normální_HV suma" xfId="48"/>
    <cellStyle name="normální_MP2002" xfId="49"/>
    <cellStyle name="normální_OBV" xfId="50"/>
    <cellStyle name="normální_tab PO" xfId="51"/>
    <cellStyle name="normální_Vysledovka" xfId="52"/>
    <cellStyle name="Poznámka" xfId="53"/>
    <cellStyle name="Percent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S95"/>
  <sheetViews>
    <sheetView tabSelected="1" zoomScale="80" zoomScaleNormal="80" workbookViewId="0" topLeftCell="A1">
      <pane xSplit="2" ySplit="4" topLeftCell="C6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62" sqref="B62"/>
    </sheetView>
  </sheetViews>
  <sheetFormatPr defaultColWidth="9.140625" defaultRowHeight="12.75"/>
  <cols>
    <col min="1" max="1" width="10.421875" style="0" customWidth="1"/>
    <col min="2" max="2" width="35.00390625" style="0" customWidth="1"/>
    <col min="3" max="6" width="9.57421875" style="0" bestFit="1" customWidth="1"/>
    <col min="7" max="7" width="7.00390625" style="0" bestFit="1" customWidth="1"/>
    <col min="8" max="8" width="9.57421875" style="0" bestFit="1" customWidth="1"/>
    <col min="9" max="9" width="8.28125" style="182" bestFit="1" customWidth="1"/>
    <col min="10" max="11" width="9.57421875" style="0" bestFit="1" customWidth="1"/>
    <col min="12" max="12" width="11.421875" style="0" bestFit="1" customWidth="1"/>
    <col min="13" max="13" width="9.57421875" style="182" customWidth="1"/>
    <col min="14" max="14" width="11.28125" style="0" customWidth="1"/>
    <col min="15" max="15" width="8.28125" style="0" bestFit="1" customWidth="1"/>
    <col min="16" max="17" width="10.421875" style="0" bestFit="1" customWidth="1"/>
  </cols>
  <sheetData>
    <row r="1" spans="1:14" ht="15.75">
      <c r="A1" s="181" t="s">
        <v>355</v>
      </c>
      <c r="I1"/>
      <c r="N1" s="181" t="s">
        <v>335</v>
      </c>
    </row>
    <row r="2" spans="1:14" ht="16.5" thickBot="1">
      <c r="A2" s="181"/>
      <c r="N2" t="s">
        <v>1</v>
      </c>
    </row>
    <row r="3" spans="1:15" ht="66.75" customHeight="1" thickBot="1">
      <c r="A3" s="183"/>
      <c r="B3" s="184"/>
      <c r="C3" s="185" t="s">
        <v>198</v>
      </c>
      <c r="D3" s="186" t="s">
        <v>199</v>
      </c>
      <c r="E3" s="187" t="s">
        <v>200</v>
      </c>
      <c r="F3" s="188" t="s">
        <v>201</v>
      </c>
      <c r="G3" s="185" t="s">
        <v>202</v>
      </c>
      <c r="H3" s="186" t="s">
        <v>203</v>
      </c>
      <c r="I3" s="273" t="s">
        <v>283</v>
      </c>
      <c r="J3" s="187" t="s">
        <v>204</v>
      </c>
      <c r="K3" s="187" t="s">
        <v>205</v>
      </c>
      <c r="L3" s="189" t="s">
        <v>206</v>
      </c>
      <c r="M3" s="326" t="s">
        <v>207</v>
      </c>
      <c r="N3" s="189" t="s">
        <v>208</v>
      </c>
      <c r="O3" s="187" t="s">
        <v>209</v>
      </c>
    </row>
    <row r="4" spans="1:15" ht="26.25" thickBot="1">
      <c r="A4" s="190" t="s">
        <v>210</v>
      </c>
      <c r="B4" s="191" t="s">
        <v>211</v>
      </c>
      <c r="C4" s="192" t="s">
        <v>212</v>
      </c>
      <c r="D4" s="193" t="s">
        <v>213</v>
      </c>
      <c r="E4" s="194"/>
      <c r="F4" s="195" t="s">
        <v>214</v>
      </c>
      <c r="G4" s="196" t="s">
        <v>215</v>
      </c>
      <c r="H4" s="196" t="s">
        <v>216</v>
      </c>
      <c r="I4" s="197"/>
      <c r="J4" s="194"/>
      <c r="K4" s="194"/>
      <c r="L4" s="194"/>
      <c r="M4" s="411"/>
      <c r="N4" s="194"/>
      <c r="O4" s="411">
        <v>5331</v>
      </c>
    </row>
    <row r="5" spans="1:15" ht="13.5" thickBot="1">
      <c r="A5" s="342"/>
      <c r="B5" s="343" t="s">
        <v>327</v>
      </c>
      <c r="C5" s="414">
        <v>9702</v>
      </c>
      <c r="D5" s="415">
        <v>51777.37</v>
      </c>
      <c r="E5" s="344">
        <v>61479.37</v>
      </c>
      <c r="F5" s="414">
        <v>21588.854</v>
      </c>
      <c r="G5" s="416">
        <v>194.04</v>
      </c>
      <c r="H5" s="416">
        <v>27276.537</v>
      </c>
      <c r="I5" s="415"/>
      <c r="J5" s="344">
        <v>27276.537</v>
      </c>
      <c r="K5" s="344">
        <v>49059.431</v>
      </c>
      <c r="L5" s="344">
        <v>110538.801</v>
      </c>
      <c r="M5" s="344"/>
      <c r="N5" s="344">
        <v>110538.801</v>
      </c>
      <c r="O5" s="345"/>
    </row>
    <row r="6" spans="1:15" ht="12.75">
      <c r="A6" s="200" t="s">
        <v>286</v>
      </c>
      <c r="B6" s="201" t="s">
        <v>287</v>
      </c>
      <c r="C6" s="202">
        <v>5590</v>
      </c>
      <c r="D6" s="203">
        <v>850</v>
      </c>
      <c r="E6" s="204">
        <f>SUM(C6:D6)</f>
        <v>6440</v>
      </c>
      <c r="F6" s="205">
        <v>1902</v>
      </c>
      <c r="G6" s="202">
        <v>112</v>
      </c>
      <c r="H6" s="202">
        <v>431</v>
      </c>
      <c r="I6" s="206"/>
      <c r="J6" s="207">
        <f aca="true" t="shared" si="0" ref="J6:J12">SUM(H6:I6)</f>
        <v>431</v>
      </c>
      <c r="K6" s="204">
        <f>SUM(F6,G6,J6)</f>
        <v>2445</v>
      </c>
      <c r="L6" s="208">
        <f aca="true" t="shared" si="1" ref="L6:L12">SUM(E6,K6)</f>
        <v>8885</v>
      </c>
      <c r="M6" s="208">
        <v>1880</v>
      </c>
      <c r="N6" s="208">
        <f aca="true" t="shared" si="2" ref="N6:N12">SUM(L6,M6)</f>
        <v>10765</v>
      </c>
      <c r="O6" s="341">
        <v>19.8</v>
      </c>
    </row>
    <row r="7" spans="1:15" ht="12.75">
      <c r="A7" s="200" t="s">
        <v>288</v>
      </c>
      <c r="B7" s="201" t="s">
        <v>289</v>
      </c>
      <c r="C7" s="202"/>
      <c r="D7" s="203">
        <v>2254</v>
      </c>
      <c r="E7" s="207">
        <f aca="true" t="shared" si="3" ref="E7:E12">SUM(C7:D7)</f>
        <v>2254</v>
      </c>
      <c r="F7" s="205">
        <v>110</v>
      </c>
      <c r="G7" s="202"/>
      <c r="H7" s="202">
        <v>1551</v>
      </c>
      <c r="I7" s="216"/>
      <c r="J7" s="207">
        <f t="shared" si="0"/>
        <v>1551</v>
      </c>
      <c r="K7" s="207">
        <f aca="true" t="shared" si="4" ref="K7:K12">SUM(F7,G7,J7)</f>
        <v>1661</v>
      </c>
      <c r="L7" s="214">
        <f t="shared" si="1"/>
        <v>3915</v>
      </c>
      <c r="M7" s="208">
        <v>374</v>
      </c>
      <c r="N7" s="214">
        <f t="shared" si="2"/>
        <v>4289</v>
      </c>
      <c r="O7" s="341"/>
    </row>
    <row r="8" spans="1:15" ht="25.5">
      <c r="A8" s="200" t="s">
        <v>290</v>
      </c>
      <c r="B8" s="201" t="s">
        <v>291</v>
      </c>
      <c r="C8" s="202"/>
      <c r="D8" s="203">
        <v>16</v>
      </c>
      <c r="E8" s="207">
        <f t="shared" si="3"/>
        <v>16</v>
      </c>
      <c r="F8" s="205"/>
      <c r="G8" s="202"/>
      <c r="H8" s="202">
        <v>20</v>
      </c>
      <c r="I8" s="216"/>
      <c r="J8" s="207">
        <f t="shared" si="0"/>
        <v>20</v>
      </c>
      <c r="K8" s="207">
        <f t="shared" si="4"/>
        <v>20</v>
      </c>
      <c r="L8" s="214">
        <f t="shared" si="1"/>
        <v>36</v>
      </c>
      <c r="M8" s="208"/>
      <c r="N8" s="214">
        <f t="shared" si="2"/>
        <v>36</v>
      </c>
      <c r="O8" s="341"/>
    </row>
    <row r="9" spans="1:15" ht="12.75">
      <c r="A9" s="360" t="s">
        <v>358</v>
      </c>
      <c r="B9" s="417" t="s">
        <v>359</v>
      </c>
      <c r="C9" s="418"/>
      <c r="D9" s="419">
        <v>3028</v>
      </c>
      <c r="E9" s="420">
        <f t="shared" si="3"/>
        <v>3028</v>
      </c>
      <c r="F9" s="421">
        <v>1009</v>
      </c>
      <c r="G9" s="418"/>
      <c r="H9" s="418">
        <v>533</v>
      </c>
      <c r="I9" s="419"/>
      <c r="J9" s="420">
        <f t="shared" si="0"/>
        <v>533</v>
      </c>
      <c r="K9" s="420">
        <f t="shared" si="4"/>
        <v>1542</v>
      </c>
      <c r="L9" s="420">
        <f t="shared" si="1"/>
        <v>4570</v>
      </c>
      <c r="M9" s="422"/>
      <c r="N9" s="420">
        <f t="shared" si="2"/>
        <v>4570</v>
      </c>
      <c r="O9" s="341"/>
    </row>
    <row r="10" spans="1:15" ht="25.5">
      <c r="A10" s="210" t="s">
        <v>292</v>
      </c>
      <c r="B10" s="211" t="s">
        <v>405</v>
      </c>
      <c r="C10" s="114">
        <v>7</v>
      </c>
      <c r="D10" s="212"/>
      <c r="E10" s="207">
        <f t="shared" si="3"/>
        <v>7</v>
      </c>
      <c r="F10" s="134">
        <v>3</v>
      </c>
      <c r="G10" s="114"/>
      <c r="H10" s="114"/>
      <c r="I10" s="213"/>
      <c r="J10" s="207">
        <f t="shared" si="0"/>
        <v>0</v>
      </c>
      <c r="K10" s="207">
        <f t="shared" si="4"/>
        <v>3</v>
      </c>
      <c r="L10" s="214">
        <f t="shared" si="1"/>
        <v>10</v>
      </c>
      <c r="M10" s="214"/>
      <c r="N10" s="214">
        <f t="shared" si="2"/>
        <v>10</v>
      </c>
      <c r="O10" s="236"/>
    </row>
    <row r="11" spans="1:15" ht="25.5">
      <c r="A11" s="200" t="s">
        <v>293</v>
      </c>
      <c r="B11" s="201" t="s">
        <v>294</v>
      </c>
      <c r="C11" s="202"/>
      <c r="D11" s="203">
        <v>30</v>
      </c>
      <c r="E11" s="207">
        <f t="shared" si="3"/>
        <v>30</v>
      </c>
      <c r="F11" s="205"/>
      <c r="G11" s="202"/>
      <c r="H11" s="202">
        <v>220</v>
      </c>
      <c r="I11" s="216"/>
      <c r="J11" s="204">
        <f t="shared" si="0"/>
        <v>220</v>
      </c>
      <c r="K11" s="204">
        <f t="shared" si="4"/>
        <v>220</v>
      </c>
      <c r="L11" s="208">
        <f t="shared" si="1"/>
        <v>250</v>
      </c>
      <c r="M11" s="208"/>
      <c r="N11" s="208">
        <f t="shared" si="2"/>
        <v>250</v>
      </c>
      <c r="O11" s="341"/>
    </row>
    <row r="12" spans="1:15" ht="13.5" thickBot="1">
      <c r="A12" s="200" t="s">
        <v>295</v>
      </c>
      <c r="B12" s="211" t="s">
        <v>296</v>
      </c>
      <c r="C12" s="202"/>
      <c r="D12" s="212">
        <v>94</v>
      </c>
      <c r="E12" s="207">
        <f t="shared" si="3"/>
        <v>94</v>
      </c>
      <c r="F12" s="134"/>
      <c r="G12" s="114"/>
      <c r="H12" s="114">
        <v>28</v>
      </c>
      <c r="I12" s="213"/>
      <c r="J12" s="207">
        <f t="shared" si="0"/>
        <v>28</v>
      </c>
      <c r="K12" s="207">
        <f t="shared" si="4"/>
        <v>28</v>
      </c>
      <c r="L12" s="214">
        <f t="shared" si="1"/>
        <v>122</v>
      </c>
      <c r="M12" s="214"/>
      <c r="N12" s="214">
        <f t="shared" si="2"/>
        <v>122</v>
      </c>
      <c r="O12" s="341"/>
    </row>
    <row r="13" spans="1:19" s="111" customFormat="1" ht="14.25" customHeight="1" thickBot="1">
      <c r="A13" s="217"/>
      <c r="B13" s="218" t="s">
        <v>217</v>
      </c>
      <c r="C13" s="219">
        <f aca="true" t="shared" si="5" ref="C13:O13">SUM(C5:C12)</f>
        <v>15299</v>
      </c>
      <c r="D13" s="219">
        <f t="shared" si="5"/>
        <v>58049.37</v>
      </c>
      <c r="E13" s="219">
        <f t="shared" si="5"/>
        <v>73348.37</v>
      </c>
      <c r="F13" s="219">
        <f t="shared" si="5"/>
        <v>24612.854</v>
      </c>
      <c r="G13" s="219">
        <f t="shared" si="5"/>
        <v>306.03999999999996</v>
      </c>
      <c r="H13" s="219">
        <f t="shared" si="5"/>
        <v>30059.537</v>
      </c>
      <c r="I13" s="219">
        <f t="shared" si="5"/>
        <v>0</v>
      </c>
      <c r="J13" s="219">
        <f t="shared" si="5"/>
        <v>30059.537</v>
      </c>
      <c r="K13" s="219">
        <f t="shared" si="5"/>
        <v>54978.431</v>
      </c>
      <c r="L13" s="219">
        <f t="shared" si="5"/>
        <v>128326.801</v>
      </c>
      <c r="M13" s="219">
        <f t="shared" si="5"/>
        <v>2254</v>
      </c>
      <c r="N13" s="219">
        <f t="shared" si="5"/>
        <v>130580.801</v>
      </c>
      <c r="O13" s="220">
        <f t="shared" si="5"/>
        <v>19.8</v>
      </c>
      <c r="P13"/>
      <c r="Q13"/>
      <c r="R13"/>
      <c r="S13"/>
    </row>
    <row r="14" spans="1:15" ht="25.5">
      <c r="A14" s="210" t="s">
        <v>297</v>
      </c>
      <c r="B14" s="211" t="s">
        <v>298</v>
      </c>
      <c r="C14" s="202"/>
      <c r="D14" s="203"/>
      <c r="E14" s="204">
        <f aca="true" t="shared" si="6" ref="E14:E26">SUM(C14:D14)</f>
        <v>0</v>
      </c>
      <c r="F14" s="205"/>
      <c r="G14" s="202"/>
      <c r="H14" s="202">
        <v>17139</v>
      </c>
      <c r="I14" s="412"/>
      <c r="J14" s="207">
        <f aca="true" t="shared" si="7" ref="J14:J26">SUM(H14:I14)</f>
        <v>17139</v>
      </c>
      <c r="K14" s="204">
        <f aca="true" t="shared" si="8" ref="K14:K26">SUM(F14,G14,J14)</f>
        <v>17139</v>
      </c>
      <c r="L14" s="208">
        <f aca="true" t="shared" si="9" ref="L14:L26">SUM(E14,K14)</f>
        <v>17139</v>
      </c>
      <c r="M14" s="208"/>
      <c r="N14" s="208">
        <f aca="true" t="shared" si="10" ref="N14:N26">SUM(L14,M14)</f>
        <v>17139</v>
      </c>
      <c r="O14" s="341"/>
    </row>
    <row r="15" spans="1:15" ht="25.5">
      <c r="A15" s="210" t="s">
        <v>299</v>
      </c>
      <c r="B15" s="211" t="s">
        <v>300</v>
      </c>
      <c r="C15" s="202"/>
      <c r="D15" s="203"/>
      <c r="E15" s="204">
        <f t="shared" si="6"/>
        <v>0</v>
      </c>
      <c r="F15" s="205"/>
      <c r="G15" s="202"/>
      <c r="H15" s="202">
        <v>1720</v>
      </c>
      <c r="I15" s="413"/>
      <c r="J15" s="207">
        <f t="shared" si="7"/>
        <v>1720</v>
      </c>
      <c r="K15" s="204">
        <f t="shared" si="8"/>
        <v>1720</v>
      </c>
      <c r="L15" s="208">
        <f t="shared" si="9"/>
        <v>1720</v>
      </c>
      <c r="M15" s="208"/>
      <c r="N15" s="208">
        <f t="shared" si="10"/>
        <v>1720</v>
      </c>
      <c r="O15" s="341"/>
    </row>
    <row r="16" spans="1:15" ht="25.5">
      <c r="A16" s="210" t="s">
        <v>360</v>
      </c>
      <c r="B16" s="211" t="s">
        <v>361</v>
      </c>
      <c r="C16" s="202">
        <v>82</v>
      </c>
      <c r="D16" s="203">
        <v>20</v>
      </c>
      <c r="E16" s="204">
        <f t="shared" si="6"/>
        <v>102</v>
      </c>
      <c r="F16" s="205">
        <v>28</v>
      </c>
      <c r="G16" s="202">
        <v>1</v>
      </c>
      <c r="H16" s="202">
        <v>142</v>
      </c>
      <c r="I16" s="413"/>
      <c r="J16" s="207">
        <f t="shared" si="7"/>
        <v>142</v>
      </c>
      <c r="K16" s="204">
        <f t="shared" si="8"/>
        <v>171</v>
      </c>
      <c r="L16" s="208">
        <f t="shared" si="9"/>
        <v>273</v>
      </c>
      <c r="M16" s="208"/>
      <c r="N16" s="208">
        <f t="shared" si="10"/>
        <v>273</v>
      </c>
      <c r="O16" s="341"/>
    </row>
    <row r="17" spans="1:15" ht="25.5">
      <c r="A17" s="210" t="s">
        <v>301</v>
      </c>
      <c r="B17" s="211" t="s">
        <v>406</v>
      </c>
      <c r="C17" s="202">
        <v>67</v>
      </c>
      <c r="D17" s="203"/>
      <c r="E17" s="204">
        <f t="shared" si="6"/>
        <v>67</v>
      </c>
      <c r="F17" s="205">
        <v>23</v>
      </c>
      <c r="G17" s="202">
        <v>1</v>
      </c>
      <c r="H17" s="202">
        <v>6327</v>
      </c>
      <c r="I17" s="413"/>
      <c r="J17" s="207">
        <f t="shared" si="7"/>
        <v>6327</v>
      </c>
      <c r="K17" s="204">
        <f t="shared" si="8"/>
        <v>6351</v>
      </c>
      <c r="L17" s="208">
        <f t="shared" si="9"/>
        <v>6418</v>
      </c>
      <c r="M17" s="208"/>
      <c r="N17" s="208">
        <f t="shared" si="10"/>
        <v>6418</v>
      </c>
      <c r="O17" s="341"/>
    </row>
    <row r="18" spans="1:15" ht="12.75">
      <c r="A18" s="423" t="s">
        <v>302</v>
      </c>
      <c r="B18" s="424" t="s">
        <v>303</v>
      </c>
      <c r="C18" s="202"/>
      <c r="D18" s="203">
        <v>166</v>
      </c>
      <c r="E18" s="204">
        <f t="shared" si="6"/>
        <v>166</v>
      </c>
      <c r="F18" s="205"/>
      <c r="G18" s="202"/>
      <c r="H18" s="202">
        <v>1000</v>
      </c>
      <c r="I18" s="413"/>
      <c r="J18" s="207">
        <f t="shared" si="7"/>
        <v>1000</v>
      </c>
      <c r="K18" s="204">
        <f t="shared" si="8"/>
        <v>1000</v>
      </c>
      <c r="L18" s="208">
        <f t="shared" si="9"/>
        <v>1166</v>
      </c>
      <c r="M18" s="208"/>
      <c r="N18" s="208">
        <f t="shared" si="10"/>
        <v>1166</v>
      </c>
      <c r="O18" s="341"/>
    </row>
    <row r="19" spans="1:15" ht="12.75">
      <c r="A19" s="210" t="s">
        <v>304</v>
      </c>
      <c r="B19" s="211" t="s">
        <v>305</v>
      </c>
      <c r="C19" s="202">
        <v>10988</v>
      </c>
      <c r="D19" s="203">
        <v>850</v>
      </c>
      <c r="E19" s="204">
        <f t="shared" si="6"/>
        <v>11838</v>
      </c>
      <c r="F19" s="205">
        <v>4026</v>
      </c>
      <c r="G19" s="202">
        <v>221</v>
      </c>
      <c r="H19" s="202">
        <v>11918</v>
      </c>
      <c r="I19" s="413"/>
      <c r="J19" s="207">
        <f t="shared" si="7"/>
        <v>11918</v>
      </c>
      <c r="K19" s="204">
        <f t="shared" si="8"/>
        <v>16165</v>
      </c>
      <c r="L19" s="208">
        <f t="shared" si="9"/>
        <v>28003</v>
      </c>
      <c r="M19" s="208">
        <v>3750</v>
      </c>
      <c r="N19" s="208">
        <f t="shared" si="10"/>
        <v>31753</v>
      </c>
      <c r="O19" s="341">
        <v>39.6</v>
      </c>
    </row>
    <row r="20" spans="1:15" ht="12.75">
      <c r="A20" s="210" t="s">
        <v>362</v>
      </c>
      <c r="B20" s="211" t="s">
        <v>363</v>
      </c>
      <c r="C20" s="202"/>
      <c r="D20" s="203"/>
      <c r="E20" s="204">
        <f t="shared" si="6"/>
        <v>0</v>
      </c>
      <c r="F20" s="205"/>
      <c r="G20" s="202"/>
      <c r="H20" s="202"/>
      <c r="I20" s="413"/>
      <c r="J20" s="207">
        <f t="shared" si="7"/>
        <v>0</v>
      </c>
      <c r="K20" s="204">
        <f t="shared" si="8"/>
        <v>0</v>
      </c>
      <c r="L20" s="208">
        <f t="shared" si="9"/>
        <v>0</v>
      </c>
      <c r="M20" s="208"/>
      <c r="N20" s="208">
        <f t="shared" si="10"/>
        <v>0</v>
      </c>
      <c r="O20" s="341"/>
    </row>
    <row r="21" spans="1:15" ht="12.75">
      <c r="A21" s="210" t="s">
        <v>306</v>
      </c>
      <c r="B21" s="211" t="s">
        <v>307</v>
      </c>
      <c r="C21" s="202">
        <v>120</v>
      </c>
      <c r="D21" s="203">
        <v>230</v>
      </c>
      <c r="E21" s="204">
        <f t="shared" si="6"/>
        <v>350</v>
      </c>
      <c r="F21" s="205">
        <v>42</v>
      </c>
      <c r="G21" s="202">
        <v>2</v>
      </c>
      <c r="H21" s="202">
        <v>12116</v>
      </c>
      <c r="I21" s="413"/>
      <c r="J21" s="207">
        <f t="shared" si="7"/>
        <v>12116</v>
      </c>
      <c r="K21" s="204">
        <f t="shared" si="8"/>
        <v>12160</v>
      </c>
      <c r="L21" s="208">
        <f t="shared" si="9"/>
        <v>12510</v>
      </c>
      <c r="M21" s="208"/>
      <c r="N21" s="208">
        <f t="shared" si="10"/>
        <v>12510</v>
      </c>
      <c r="O21" s="341">
        <v>0.67</v>
      </c>
    </row>
    <row r="22" spans="1:15" ht="12.75">
      <c r="A22" s="210" t="s">
        <v>364</v>
      </c>
      <c r="B22" s="211" t="s">
        <v>365</v>
      </c>
      <c r="C22" s="202">
        <v>420</v>
      </c>
      <c r="D22" s="203">
        <v>58</v>
      </c>
      <c r="E22" s="204">
        <f t="shared" si="6"/>
        <v>478</v>
      </c>
      <c r="F22" s="205">
        <v>143</v>
      </c>
      <c r="G22" s="202">
        <v>8</v>
      </c>
      <c r="H22" s="202">
        <v>2971</v>
      </c>
      <c r="I22" s="413"/>
      <c r="J22" s="207">
        <f t="shared" si="7"/>
        <v>2971</v>
      </c>
      <c r="K22" s="204">
        <f t="shared" si="8"/>
        <v>3122</v>
      </c>
      <c r="L22" s="208">
        <f t="shared" si="9"/>
        <v>3600</v>
      </c>
      <c r="M22" s="208"/>
      <c r="N22" s="208">
        <f t="shared" si="10"/>
        <v>3600</v>
      </c>
      <c r="O22" s="341"/>
    </row>
    <row r="23" spans="1:15" ht="25.5">
      <c r="A23" s="210" t="s">
        <v>366</v>
      </c>
      <c r="B23" s="211" t="s">
        <v>407</v>
      </c>
      <c r="C23" s="202">
        <v>4348</v>
      </c>
      <c r="D23" s="203"/>
      <c r="E23" s="204">
        <f t="shared" si="6"/>
        <v>4348</v>
      </c>
      <c r="F23" s="205">
        <v>1489</v>
      </c>
      <c r="G23" s="202">
        <v>87</v>
      </c>
      <c r="H23" s="202">
        <v>26420</v>
      </c>
      <c r="I23" s="413"/>
      <c r="J23" s="207">
        <f t="shared" si="7"/>
        <v>26420</v>
      </c>
      <c r="K23" s="204">
        <f t="shared" si="8"/>
        <v>27996</v>
      </c>
      <c r="L23" s="208">
        <f t="shared" si="9"/>
        <v>32344</v>
      </c>
      <c r="M23" s="208"/>
      <c r="N23" s="208">
        <f t="shared" si="10"/>
        <v>32344</v>
      </c>
      <c r="O23" s="341">
        <v>16.8</v>
      </c>
    </row>
    <row r="24" spans="1:15" ht="25.5">
      <c r="A24" s="210" t="s">
        <v>308</v>
      </c>
      <c r="B24" s="211" t="s">
        <v>309</v>
      </c>
      <c r="C24" s="202"/>
      <c r="D24" s="203">
        <v>20</v>
      </c>
      <c r="E24" s="204">
        <f t="shared" si="6"/>
        <v>20</v>
      </c>
      <c r="F24" s="205"/>
      <c r="G24" s="202"/>
      <c r="H24" s="202">
        <v>2389</v>
      </c>
      <c r="I24" s="413"/>
      <c r="J24" s="207">
        <f t="shared" si="7"/>
        <v>2389</v>
      </c>
      <c r="K24" s="204">
        <f t="shared" si="8"/>
        <v>2389</v>
      </c>
      <c r="L24" s="208">
        <f t="shared" si="9"/>
        <v>2409</v>
      </c>
      <c r="M24" s="208"/>
      <c r="N24" s="208">
        <f t="shared" si="10"/>
        <v>2409</v>
      </c>
      <c r="O24" s="341"/>
    </row>
    <row r="25" spans="1:15" ht="12.75">
      <c r="A25" s="210" t="s">
        <v>310</v>
      </c>
      <c r="B25" s="211" t="s">
        <v>311</v>
      </c>
      <c r="C25" s="202">
        <v>11121</v>
      </c>
      <c r="D25" s="203">
        <v>1517</v>
      </c>
      <c r="E25" s="204">
        <f t="shared" si="6"/>
        <v>12638</v>
      </c>
      <c r="F25" s="205">
        <v>4328</v>
      </c>
      <c r="G25" s="202">
        <v>222</v>
      </c>
      <c r="H25" s="202">
        <v>20107</v>
      </c>
      <c r="I25" s="413"/>
      <c r="J25" s="207">
        <f t="shared" si="7"/>
        <v>20107</v>
      </c>
      <c r="K25" s="204">
        <f t="shared" si="8"/>
        <v>24657</v>
      </c>
      <c r="L25" s="208">
        <f t="shared" si="9"/>
        <v>37295</v>
      </c>
      <c r="M25" s="208">
        <v>34559</v>
      </c>
      <c r="N25" s="208">
        <f t="shared" si="10"/>
        <v>71854</v>
      </c>
      <c r="O25" s="341">
        <v>46.4</v>
      </c>
    </row>
    <row r="26" spans="1:15" ht="13.5" thickBot="1">
      <c r="A26" s="200" t="s">
        <v>312</v>
      </c>
      <c r="B26" s="201" t="s">
        <v>313</v>
      </c>
      <c r="C26" s="202">
        <v>3462</v>
      </c>
      <c r="D26" s="203"/>
      <c r="E26" s="204">
        <f t="shared" si="6"/>
        <v>3462</v>
      </c>
      <c r="F26" s="205">
        <v>1177</v>
      </c>
      <c r="G26" s="202">
        <v>69</v>
      </c>
      <c r="H26" s="202"/>
      <c r="I26" s="216"/>
      <c r="J26" s="207">
        <f t="shared" si="7"/>
        <v>0</v>
      </c>
      <c r="K26" s="204">
        <f t="shared" si="8"/>
        <v>1246</v>
      </c>
      <c r="L26" s="208">
        <f t="shared" si="9"/>
        <v>4708</v>
      </c>
      <c r="M26" s="208"/>
      <c r="N26" s="208">
        <f t="shared" si="10"/>
        <v>4708</v>
      </c>
      <c r="O26" s="341">
        <v>11.3</v>
      </c>
    </row>
    <row r="27" spans="1:15" ht="14.25" customHeight="1" thickBot="1">
      <c r="A27" s="217"/>
      <c r="B27" s="218" t="s">
        <v>218</v>
      </c>
      <c r="C27" s="221">
        <f aca="true" t="shared" si="11" ref="C27:O27">SUM(C14:C26)</f>
        <v>30608</v>
      </c>
      <c r="D27" s="221">
        <f t="shared" si="11"/>
        <v>2861</v>
      </c>
      <c r="E27" s="221">
        <f t="shared" si="11"/>
        <v>33469</v>
      </c>
      <c r="F27" s="221">
        <f t="shared" si="11"/>
        <v>11256</v>
      </c>
      <c r="G27" s="221">
        <f t="shared" si="11"/>
        <v>611</v>
      </c>
      <c r="H27" s="221">
        <f t="shared" si="11"/>
        <v>102249</v>
      </c>
      <c r="I27" s="221">
        <f t="shared" si="11"/>
        <v>0</v>
      </c>
      <c r="J27" s="221">
        <f t="shared" si="11"/>
        <v>102249</v>
      </c>
      <c r="K27" s="221">
        <f t="shared" si="11"/>
        <v>114116</v>
      </c>
      <c r="L27" s="221">
        <f t="shared" si="11"/>
        <v>147585</v>
      </c>
      <c r="M27" s="221">
        <f t="shared" si="11"/>
        <v>38309</v>
      </c>
      <c r="N27" s="221">
        <f t="shared" si="11"/>
        <v>185894</v>
      </c>
      <c r="O27" s="222">
        <f t="shared" si="11"/>
        <v>114.77</v>
      </c>
    </row>
    <row r="28" spans="1:15" ht="13.5" thickBot="1">
      <c r="A28" s="342"/>
      <c r="B28" s="343" t="s">
        <v>397</v>
      </c>
      <c r="C28" s="414">
        <v>0</v>
      </c>
      <c r="D28" s="415">
        <v>0</v>
      </c>
      <c r="E28" s="344">
        <v>0</v>
      </c>
      <c r="F28" s="414">
        <v>0</v>
      </c>
      <c r="G28" s="416">
        <v>0</v>
      </c>
      <c r="H28" s="416">
        <v>20.1</v>
      </c>
      <c r="I28" s="415"/>
      <c r="J28" s="344">
        <v>20.1</v>
      </c>
      <c r="K28" s="344">
        <v>20.1</v>
      </c>
      <c r="L28" s="344">
        <v>20.1</v>
      </c>
      <c r="M28" s="344"/>
      <c r="N28" s="344">
        <v>20.1</v>
      </c>
      <c r="O28" s="345"/>
    </row>
    <row r="29" spans="1:19" s="182" customFormat="1" ht="14.25" customHeight="1" thickBot="1">
      <c r="A29" s="223" t="s">
        <v>219</v>
      </c>
      <c r="B29" s="266" t="s">
        <v>220</v>
      </c>
      <c r="C29" s="224">
        <v>2171</v>
      </c>
      <c r="D29" s="225">
        <v>207</v>
      </c>
      <c r="E29" s="226">
        <f>SUM(C29:D29)</f>
        <v>2378</v>
      </c>
      <c r="F29" s="227">
        <v>739</v>
      </c>
      <c r="G29" s="224">
        <v>44</v>
      </c>
      <c r="H29" s="224">
        <v>3623</v>
      </c>
      <c r="I29" s="225"/>
      <c r="J29" s="226">
        <f>SUM(H29:I29)</f>
        <v>3623</v>
      </c>
      <c r="K29" s="226">
        <f>SUM(F29,G29,J29)</f>
        <v>4406</v>
      </c>
      <c r="L29" s="226">
        <f>SUM(E29,K29)</f>
        <v>6784</v>
      </c>
      <c r="M29" s="226">
        <v>3228</v>
      </c>
      <c r="N29" s="226">
        <f>SUM(L29,M29)</f>
        <v>10012</v>
      </c>
      <c r="O29" s="228">
        <v>10.26</v>
      </c>
      <c r="P29"/>
      <c r="Q29"/>
      <c r="R29"/>
      <c r="S29"/>
    </row>
    <row r="30" spans="1:15" ht="13.5" thickBot="1">
      <c r="A30" s="261"/>
      <c r="B30" s="262" t="s">
        <v>398</v>
      </c>
      <c r="C30" s="221">
        <f>SUM(C28:C29)</f>
        <v>2171</v>
      </c>
      <c r="D30" s="229">
        <f aca="true" t="shared" si="12" ref="D30:O30">SUM(D28:D29)</f>
        <v>207</v>
      </c>
      <c r="E30" s="219">
        <f t="shared" si="12"/>
        <v>2378</v>
      </c>
      <c r="F30" s="230">
        <f t="shared" si="12"/>
        <v>739</v>
      </c>
      <c r="G30" s="221">
        <f t="shared" si="12"/>
        <v>44</v>
      </c>
      <c r="H30" s="221">
        <f t="shared" si="12"/>
        <v>3643.1</v>
      </c>
      <c r="I30" s="221">
        <f t="shared" si="12"/>
        <v>0</v>
      </c>
      <c r="J30" s="219">
        <f t="shared" si="12"/>
        <v>3643.1</v>
      </c>
      <c r="K30" s="219">
        <f t="shared" si="12"/>
        <v>4426.1</v>
      </c>
      <c r="L30" s="219">
        <f t="shared" si="12"/>
        <v>6804.1</v>
      </c>
      <c r="M30" s="219">
        <f t="shared" si="12"/>
        <v>3228</v>
      </c>
      <c r="N30" s="219">
        <f t="shared" si="12"/>
        <v>10032.1</v>
      </c>
      <c r="O30" s="220">
        <f t="shared" si="12"/>
        <v>10.26</v>
      </c>
    </row>
    <row r="31" spans="1:15" ht="13.5" thickBot="1">
      <c r="A31" s="342"/>
      <c r="B31" s="343" t="s">
        <v>328</v>
      </c>
      <c r="C31" s="414">
        <v>4986.065</v>
      </c>
      <c r="D31" s="415">
        <v>4548.7</v>
      </c>
      <c r="E31" s="344">
        <v>9534.765</v>
      </c>
      <c r="F31" s="414">
        <v>1780.336</v>
      </c>
      <c r="G31" s="416">
        <v>99.602</v>
      </c>
      <c r="H31" s="416">
        <v>13559.645000000002</v>
      </c>
      <c r="I31" s="415"/>
      <c r="J31" s="344">
        <v>13559.645000000002</v>
      </c>
      <c r="K31" s="344">
        <v>15439.583000000002</v>
      </c>
      <c r="L31" s="344">
        <v>24974.348</v>
      </c>
      <c r="M31" s="344"/>
      <c r="N31" s="344">
        <v>24974.348</v>
      </c>
      <c r="O31" s="345">
        <v>4.53</v>
      </c>
    </row>
    <row r="32" spans="1:15" ht="12.75">
      <c r="A32" s="200" t="s">
        <v>367</v>
      </c>
      <c r="B32" s="232" t="s">
        <v>368</v>
      </c>
      <c r="C32" s="114">
        <v>214</v>
      </c>
      <c r="D32" s="212"/>
      <c r="E32" s="207">
        <f aca="true" t="shared" si="13" ref="E32:E39">SUM(C32:D32)</f>
        <v>214</v>
      </c>
      <c r="F32" s="134">
        <v>73</v>
      </c>
      <c r="G32" s="114">
        <v>5</v>
      </c>
      <c r="H32" s="114">
        <v>172</v>
      </c>
      <c r="I32" s="213"/>
      <c r="J32" s="207">
        <f aca="true" t="shared" si="14" ref="J32:J39">SUM(H32:I32)</f>
        <v>172</v>
      </c>
      <c r="K32" s="207">
        <f aca="true" t="shared" si="15" ref="K32:K39">SUM(F32,G32,J32)</f>
        <v>250</v>
      </c>
      <c r="L32" s="214">
        <f aca="true" t="shared" si="16" ref="L32:L39">SUM(E32,K32)</f>
        <v>464</v>
      </c>
      <c r="M32" s="214"/>
      <c r="N32" s="214">
        <f aca="true" t="shared" si="17" ref="N32:N39">SUM(L32,M32)</f>
        <v>464</v>
      </c>
      <c r="O32" s="215"/>
    </row>
    <row r="33" spans="1:15" ht="12.75">
      <c r="A33" s="200" t="s">
        <v>221</v>
      </c>
      <c r="B33" s="232" t="s">
        <v>222</v>
      </c>
      <c r="C33" s="114">
        <v>40679</v>
      </c>
      <c r="D33" s="212">
        <v>1023</v>
      </c>
      <c r="E33" s="207">
        <f t="shared" si="13"/>
        <v>41702</v>
      </c>
      <c r="F33" s="134">
        <v>13982</v>
      </c>
      <c r="G33" s="114">
        <v>811</v>
      </c>
      <c r="H33" s="114">
        <v>13460</v>
      </c>
      <c r="I33" s="213"/>
      <c r="J33" s="207">
        <f t="shared" si="14"/>
        <v>13460</v>
      </c>
      <c r="K33" s="207">
        <f t="shared" si="15"/>
        <v>28253</v>
      </c>
      <c r="L33" s="214">
        <f t="shared" si="16"/>
        <v>69955</v>
      </c>
      <c r="M33" s="214">
        <v>15100</v>
      </c>
      <c r="N33" s="214">
        <f t="shared" si="17"/>
        <v>85055</v>
      </c>
      <c r="O33" s="215">
        <v>139</v>
      </c>
    </row>
    <row r="34" spans="1:15" ht="12.75">
      <c r="A34" s="200" t="s">
        <v>369</v>
      </c>
      <c r="B34" s="232" t="s">
        <v>370</v>
      </c>
      <c r="C34" s="114"/>
      <c r="D34" s="212"/>
      <c r="E34" s="207">
        <f t="shared" si="13"/>
        <v>0</v>
      </c>
      <c r="F34" s="134"/>
      <c r="G34" s="114"/>
      <c r="H34" s="114"/>
      <c r="I34" s="213"/>
      <c r="J34" s="207">
        <f t="shared" si="14"/>
        <v>0</v>
      </c>
      <c r="K34" s="207">
        <f t="shared" si="15"/>
        <v>0</v>
      </c>
      <c r="L34" s="214">
        <f t="shared" si="16"/>
        <v>0</v>
      </c>
      <c r="M34" s="214"/>
      <c r="N34" s="214">
        <f t="shared" si="17"/>
        <v>0</v>
      </c>
      <c r="O34" s="215"/>
    </row>
    <row r="35" spans="1:15" ht="12.75">
      <c r="A35" s="210" t="s">
        <v>223</v>
      </c>
      <c r="B35" s="211" t="s">
        <v>224</v>
      </c>
      <c r="C35" s="114">
        <v>5384</v>
      </c>
      <c r="D35" s="212">
        <v>1175</v>
      </c>
      <c r="E35" s="207">
        <f t="shared" si="13"/>
        <v>6559</v>
      </c>
      <c r="F35" s="134">
        <v>1862</v>
      </c>
      <c r="G35" s="114">
        <v>108</v>
      </c>
      <c r="H35" s="114">
        <v>2996</v>
      </c>
      <c r="I35" s="213"/>
      <c r="J35" s="207">
        <f t="shared" si="14"/>
        <v>2996</v>
      </c>
      <c r="K35" s="207">
        <f t="shared" si="15"/>
        <v>4966</v>
      </c>
      <c r="L35" s="214">
        <f t="shared" si="16"/>
        <v>11525</v>
      </c>
      <c r="M35" s="214"/>
      <c r="N35" s="214">
        <f t="shared" si="17"/>
        <v>11525</v>
      </c>
      <c r="O35" s="215">
        <v>15.7</v>
      </c>
    </row>
    <row r="36" spans="1:15" ht="25.5">
      <c r="A36" s="210" t="s">
        <v>225</v>
      </c>
      <c r="B36" s="211" t="s">
        <v>226</v>
      </c>
      <c r="C36" s="114">
        <v>335</v>
      </c>
      <c r="D36" s="212">
        <v>58</v>
      </c>
      <c r="E36" s="207">
        <f t="shared" si="13"/>
        <v>393</v>
      </c>
      <c r="F36" s="134">
        <v>115</v>
      </c>
      <c r="G36" s="114">
        <v>8</v>
      </c>
      <c r="H36" s="114">
        <v>361</v>
      </c>
      <c r="I36" s="213"/>
      <c r="J36" s="207">
        <f t="shared" si="14"/>
        <v>361</v>
      </c>
      <c r="K36" s="207">
        <f t="shared" si="15"/>
        <v>484</v>
      </c>
      <c r="L36" s="214">
        <f t="shared" si="16"/>
        <v>877</v>
      </c>
      <c r="M36" s="214"/>
      <c r="N36" s="214">
        <f t="shared" si="17"/>
        <v>877</v>
      </c>
      <c r="O36" s="215">
        <v>0.16</v>
      </c>
    </row>
    <row r="37" spans="1:15" ht="12.75">
      <c r="A37" s="210" t="s">
        <v>314</v>
      </c>
      <c r="B37" s="211" t="s">
        <v>315</v>
      </c>
      <c r="C37" s="114"/>
      <c r="D37" s="212"/>
      <c r="E37" s="207">
        <f t="shared" si="13"/>
        <v>0</v>
      </c>
      <c r="F37" s="134"/>
      <c r="G37" s="114"/>
      <c r="H37" s="114">
        <v>4832</v>
      </c>
      <c r="I37" s="213"/>
      <c r="J37" s="207">
        <f t="shared" si="14"/>
        <v>4832</v>
      </c>
      <c r="K37" s="207">
        <f t="shared" si="15"/>
        <v>4832</v>
      </c>
      <c r="L37" s="214">
        <f t="shared" si="16"/>
        <v>4832</v>
      </c>
      <c r="M37" s="214"/>
      <c r="N37" s="214">
        <f t="shared" si="17"/>
        <v>4832</v>
      </c>
      <c r="O37" s="215"/>
    </row>
    <row r="38" spans="1:15" ht="12.75">
      <c r="A38" s="210" t="s">
        <v>277</v>
      </c>
      <c r="B38" s="211" t="s">
        <v>275</v>
      </c>
      <c r="C38" s="114">
        <v>331</v>
      </c>
      <c r="D38" s="212"/>
      <c r="E38" s="207">
        <f t="shared" si="13"/>
        <v>331</v>
      </c>
      <c r="F38" s="134">
        <v>116</v>
      </c>
      <c r="G38" s="114">
        <v>7</v>
      </c>
      <c r="H38" s="114">
        <v>36</v>
      </c>
      <c r="I38" s="213"/>
      <c r="J38" s="207">
        <f t="shared" si="14"/>
        <v>36</v>
      </c>
      <c r="K38" s="207">
        <f t="shared" si="15"/>
        <v>159</v>
      </c>
      <c r="L38" s="214">
        <f t="shared" si="16"/>
        <v>490</v>
      </c>
      <c r="M38" s="214"/>
      <c r="N38" s="214">
        <f t="shared" si="17"/>
        <v>490</v>
      </c>
      <c r="O38" s="215">
        <v>1</v>
      </c>
    </row>
    <row r="39" spans="1:15" ht="13.5" thickBot="1">
      <c r="A39" s="210" t="s">
        <v>278</v>
      </c>
      <c r="B39" s="211" t="s">
        <v>276</v>
      </c>
      <c r="C39" s="114">
        <v>450</v>
      </c>
      <c r="D39" s="212">
        <v>1230</v>
      </c>
      <c r="E39" s="207">
        <f t="shared" si="13"/>
        <v>1680</v>
      </c>
      <c r="F39" s="134">
        <v>153</v>
      </c>
      <c r="G39" s="114">
        <v>6</v>
      </c>
      <c r="H39" s="114">
        <v>2151</v>
      </c>
      <c r="I39" s="213"/>
      <c r="J39" s="207">
        <f t="shared" si="14"/>
        <v>2151</v>
      </c>
      <c r="K39" s="207">
        <f t="shared" si="15"/>
        <v>2310</v>
      </c>
      <c r="L39" s="214">
        <f t="shared" si="16"/>
        <v>3990</v>
      </c>
      <c r="M39" s="214"/>
      <c r="N39" s="214">
        <f t="shared" si="17"/>
        <v>3990</v>
      </c>
      <c r="O39" s="215"/>
    </row>
    <row r="40" spans="1:15" ht="14.25" customHeight="1" thickBot="1">
      <c r="A40" s="217"/>
      <c r="B40" s="218" t="s">
        <v>227</v>
      </c>
      <c r="C40" s="221">
        <f aca="true" t="shared" si="18" ref="C40:O40">SUM(C31:C39)</f>
        <v>52379.065</v>
      </c>
      <c r="D40" s="229">
        <f t="shared" si="18"/>
        <v>8034.7</v>
      </c>
      <c r="E40" s="219">
        <f t="shared" si="18"/>
        <v>60413.765</v>
      </c>
      <c r="F40" s="230">
        <f t="shared" si="18"/>
        <v>18081.336</v>
      </c>
      <c r="G40" s="221">
        <f t="shared" si="18"/>
        <v>1044.6019999999999</v>
      </c>
      <c r="H40" s="221">
        <f t="shared" si="18"/>
        <v>37567.645000000004</v>
      </c>
      <c r="I40" s="221">
        <f t="shared" si="18"/>
        <v>0</v>
      </c>
      <c r="J40" s="219">
        <f t="shared" si="18"/>
        <v>37567.645000000004</v>
      </c>
      <c r="K40" s="219">
        <f t="shared" si="18"/>
        <v>56693.583</v>
      </c>
      <c r="L40" s="219">
        <f t="shared" si="18"/>
        <v>117107.348</v>
      </c>
      <c r="M40" s="219">
        <f t="shared" si="18"/>
        <v>15100</v>
      </c>
      <c r="N40" s="219">
        <f t="shared" si="18"/>
        <v>132207.348</v>
      </c>
      <c r="O40" s="220">
        <f t="shared" si="18"/>
        <v>160.39</v>
      </c>
    </row>
    <row r="41" spans="1:19" s="178" customFormat="1" ht="13.5" thickBot="1">
      <c r="A41" s="342"/>
      <c r="B41" s="343" t="s">
        <v>329</v>
      </c>
      <c r="C41" s="414">
        <v>26973</v>
      </c>
      <c r="D41" s="415">
        <v>34328.577</v>
      </c>
      <c r="E41" s="344">
        <v>61301.577</v>
      </c>
      <c r="F41" s="414">
        <v>12241.423</v>
      </c>
      <c r="G41" s="416">
        <v>539</v>
      </c>
      <c r="H41" s="416">
        <v>62586</v>
      </c>
      <c r="I41" s="415"/>
      <c r="J41" s="344">
        <v>62586</v>
      </c>
      <c r="K41" s="344">
        <v>75366.423</v>
      </c>
      <c r="L41" s="344">
        <v>136668</v>
      </c>
      <c r="M41" s="344"/>
      <c r="N41" s="344">
        <v>136668</v>
      </c>
      <c r="O41" s="345">
        <v>57.39</v>
      </c>
      <c r="P41"/>
      <c r="Q41"/>
      <c r="R41"/>
      <c r="S41"/>
    </row>
    <row r="42" spans="1:19" s="178" customFormat="1" ht="25.5">
      <c r="A42" s="210" t="s">
        <v>316</v>
      </c>
      <c r="B42" s="211" t="s">
        <v>317</v>
      </c>
      <c r="C42" s="114">
        <v>124</v>
      </c>
      <c r="D42" s="212"/>
      <c r="E42" s="207">
        <f>SUM(C42:D42)</f>
        <v>124</v>
      </c>
      <c r="F42" s="134">
        <v>43</v>
      </c>
      <c r="G42" s="114">
        <v>3</v>
      </c>
      <c r="H42" s="114"/>
      <c r="I42" s="213"/>
      <c r="J42" s="207">
        <f>SUM(H42:I42)</f>
        <v>0</v>
      </c>
      <c r="K42" s="207">
        <f>SUM(F42,G42,J42)</f>
        <v>46</v>
      </c>
      <c r="L42" s="214">
        <f>SUM(E42,K42)</f>
        <v>170</v>
      </c>
      <c r="M42" s="214"/>
      <c r="N42" s="214">
        <f>SUM(L42,M42)</f>
        <v>170</v>
      </c>
      <c r="O42" s="215"/>
      <c r="P42"/>
      <c r="Q42"/>
      <c r="R42"/>
      <c r="S42"/>
    </row>
    <row r="43" spans="1:19" s="178" customFormat="1" ht="12.75">
      <c r="A43" s="210" t="s">
        <v>228</v>
      </c>
      <c r="B43" s="211" t="s">
        <v>229</v>
      </c>
      <c r="C43" s="114">
        <v>22189</v>
      </c>
      <c r="D43" s="212">
        <v>1421</v>
      </c>
      <c r="E43" s="207">
        <f>SUM(C43:D43)</f>
        <v>23610</v>
      </c>
      <c r="F43" s="134">
        <v>7975</v>
      </c>
      <c r="G43" s="114">
        <v>444</v>
      </c>
      <c r="H43" s="114">
        <v>9052</v>
      </c>
      <c r="I43" s="213"/>
      <c r="J43" s="207">
        <f>SUM(H43:I43)</f>
        <v>9052</v>
      </c>
      <c r="K43" s="207">
        <f>SUM(F43,G43,J43)</f>
        <v>17471</v>
      </c>
      <c r="L43" s="214">
        <f>SUM(E43,K43)</f>
        <v>41081</v>
      </c>
      <c r="M43" s="214">
        <v>3200</v>
      </c>
      <c r="N43" s="214">
        <f>SUM(L43,M43)</f>
        <v>44281</v>
      </c>
      <c r="O43" s="215">
        <v>77.49</v>
      </c>
      <c r="P43"/>
      <c r="Q43"/>
      <c r="R43"/>
      <c r="S43"/>
    </row>
    <row r="44" spans="1:15" ht="12.75">
      <c r="A44" s="210" t="s">
        <v>230</v>
      </c>
      <c r="B44" s="211" t="s">
        <v>231</v>
      </c>
      <c r="C44" s="114">
        <v>2206</v>
      </c>
      <c r="D44" s="212">
        <v>1109</v>
      </c>
      <c r="E44" s="207">
        <f>SUM(C44:D44)</f>
        <v>3315</v>
      </c>
      <c r="F44" s="134">
        <v>852</v>
      </c>
      <c r="G44" s="114">
        <v>44</v>
      </c>
      <c r="H44" s="114">
        <v>1673</v>
      </c>
      <c r="I44" s="213"/>
      <c r="J44" s="207">
        <f>SUM(H44:I44)</f>
        <v>1673</v>
      </c>
      <c r="K44" s="207">
        <f>SUM(F44,G44,J44)</f>
        <v>2569</v>
      </c>
      <c r="L44" s="214">
        <f>SUM(E44,K44)</f>
        <v>5884</v>
      </c>
      <c r="M44" s="214">
        <v>250</v>
      </c>
      <c r="N44" s="214">
        <f>SUM(L44,M44)</f>
        <v>6134</v>
      </c>
      <c r="O44" s="215">
        <v>6.7</v>
      </c>
    </row>
    <row r="45" spans="1:15" ht="26.25" thickBot="1">
      <c r="A45" s="210" t="s">
        <v>232</v>
      </c>
      <c r="B45" s="211" t="s">
        <v>233</v>
      </c>
      <c r="C45" s="114">
        <v>689</v>
      </c>
      <c r="D45" s="212">
        <v>470</v>
      </c>
      <c r="E45" s="207">
        <f>SUM(C45:D45)</f>
        <v>1159</v>
      </c>
      <c r="F45" s="134">
        <v>327</v>
      </c>
      <c r="G45" s="114">
        <v>15</v>
      </c>
      <c r="H45" s="114">
        <v>2430</v>
      </c>
      <c r="I45" s="213"/>
      <c r="J45" s="207">
        <f>SUM(H45:I45)</f>
        <v>2430</v>
      </c>
      <c r="K45" s="207">
        <f>SUM(F45,G45,J45)</f>
        <v>2772</v>
      </c>
      <c r="L45" s="214">
        <f>SUM(E45,K45)</f>
        <v>3931</v>
      </c>
      <c r="M45" s="214">
        <v>1680</v>
      </c>
      <c r="N45" s="214">
        <f>SUM(L45,M45)</f>
        <v>5611</v>
      </c>
      <c r="O45" s="215">
        <v>2</v>
      </c>
    </row>
    <row r="46" spans="1:15" ht="14.25" customHeight="1" thickBot="1">
      <c r="A46" s="217"/>
      <c r="B46" s="218" t="s">
        <v>234</v>
      </c>
      <c r="C46" s="221">
        <f aca="true" t="shared" si="19" ref="C46:O46">SUM(C41:C45)</f>
        <v>52181</v>
      </c>
      <c r="D46" s="229">
        <f t="shared" si="19"/>
        <v>37328.577</v>
      </c>
      <c r="E46" s="219">
        <f t="shared" si="19"/>
        <v>89509.57699999999</v>
      </c>
      <c r="F46" s="230">
        <f t="shared" si="19"/>
        <v>21438.423000000003</v>
      </c>
      <c r="G46" s="221">
        <f t="shared" si="19"/>
        <v>1045</v>
      </c>
      <c r="H46" s="221">
        <f t="shared" si="19"/>
        <v>75741</v>
      </c>
      <c r="I46" s="221">
        <f t="shared" si="19"/>
        <v>0</v>
      </c>
      <c r="J46" s="219">
        <f t="shared" si="19"/>
        <v>75741</v>
      </c>
      <c r="K46" s="219">
        <f t="shared" si="19"/>
        <v>98224.423</v>
      </c>
      <c r="L46" s="219">
        <f t="shared" si="19"/>
        <v>187734</v>
      </c>
      <c r="M46" s="219">
        <f t="shared" si="19"/>
        <v>5130</v>
      </c>
      <c r="N46" s="219">
        <f t="shared" si="19"/>
        <v>192864</v>
      </c>
      <c r="O46" s="220">
        <f t="shared" si="19"/>
        <v>143.57999999999998</v>
      </c>
    </row>
    <row r="47" spans="1:15" ht="13.5" thickBot="1">
      <c r="A47" s="342"/>
      <c r="B47" s="343" t="s">
        <v>330</v>
      </c>
      <c r="C47" s="414">
        <v>13555</v>
      </c>
      <c r="D47" s="415">
        <v>6379</v>
      </c>
      <c r="E47" s="344">
        <v>19934</v>
      </c>
      <c r="F47" s="414">
        <v>5713.599</v>
      </c>
      <c r="G47" s="416">
        <v>271.1</v>
      </c>
      <c r="H47" s="416">
        <v>10729</v>
      </c>
      <c r="I47" s="415"/>
      <c r="J47" s="344">
        <v>10729</v>
      </c>
      <c r="K47" s="344">
        <v>16713.699</v>
      </c>
      <c r="L47" s="344">
        <v>36647.699</v>
      </c>
      <c r="M47" s="344"/>
      <c r="N47" s="344">
        <v>36647.699</v>
      </c>
      <c r="O47" s="345">
        <v>26.9</v>
      </c>
    </row>
    <row r="48" spans="1:15" ht="12.75">
      <c r="A48" s="210" t="s">
        <v>371</v>
      </c>
      <c r="B48" s="211" t="s">
        <v>372</v>
      </c>
      <c r="C48" s="134"/>
      <c r="D48" s="212">
        <v>15</v>
      </c>
      <c r="E48" s="207">
        <f>SUM(C48:D48)</f>
        <v>15</v>
      </c>
      <c r="F48" s="134"/>
      <c r="G48" s="114"/>
      <c r="H48" s="114">
        <v>685</v>
      </c>
      <c r="I48" s="213"/>
      <c r="J48" s="207">
        <f>SUM(H48:I48)</f>
        <v>685</v>
      </c>
      <c r="K48" s="207">
        <f>SUM(F48,G48,J48)</f>
        <v>685</v>
      </c>
      <c r="L48" s="214">
        <f>SUM(E48,K48)</f>
        <v>700</v>
      </c>
      <c r="M48" s="214"/>
      <c r="N48" s="214">
        <f>SUM(L48,M48)</f>
        <v>700</v>
      </c>
      <c r="O48" s="215"/>
    </row>
    <row r="49" spans="1:15" ht="12.75">
      <c r="A49" s="210" t="s">
        <v>235</v>
      </c>
      <c r="B49" s="211" t="s">
        <v>236</v>
      </c>
      <c r="C49" s="134">
        <v>14987</v>
      </c>
      <c r="D49" s="212">
        <v>2291</v>
      </c>
      <c r="E49" s="207">
        <f>SUM(C49:D49)</f>
        <v>17278</v>
      </c>
      <c r="F49" s="134">
        <v>5201</v>
      </c>
      <c r="G49" s="114">
        <v>299</v>
      </c>
      <c r="H49" s="114">
        <v>10541</v>
      </c>
      <c r="I49" s="213"/>
      <c r="J49" s="207">
        <f>SUM(H49:I49)</f>
        <v>10541</v>
      </c>
      <c r="K49" s="207">
        <f>SUM(F49,G49,J49)</f>
        <v>16041</v>
      </c>
      <c r="L49" s="214">
        <f>SUM(E49,K49)</f>
        <v>33319</v>
      </c>
      <c r="M49" s="214">
        <v>2001</v>
      </c>
      <c r="N49" s="214">
        <f>SUM(L49,M49)</f>
        <v>35320</v>
      </c>
      <c r="O49" s="215">
        <v>46.27</v>
      </c>
    </row>
    <row r="50" spans="1:15" ht="12.75">
      <c r="A50" s="210" t="s">
        <v>237</v>
      </c>
      <c r="B50" s="211" t="s">
        <v>238</v>
      </c>
      <c r="C50" s="134"/>
      <c r="D50" s="212">
        <v>2997</v>
      </c>
      <c r="E50" s="207">
        <f>SUM(C50:D50)</f>
        <v>2997</v>
      </c>
      <c r="F50" s="134">
        <v>110</v>
      </c>
      <c r="G50" s="114"/>
      <c r="H50" s="114">
        <v>734</v>
      </c>
      <c r="I50" s="213"/>
      <c r="J50" s="207">
        <f>SUM(H50:I50)</f>
        <v>734</v>
      </c>
      <c r="K50" s="207">
        <f>SUM(F50,G50,J50)</f>
        <v>844</v>
      </c>
      <c r="L50" s="214">
        <f>SUM(E50,K50)</f>
        <v>3841</v>
      </c>
      <c r="M50" s="214"/>
      <c r="N50" s="214">
        <f>SUM(L50,M50)</f>
        <v>3841</v>
      </c>
      <c r="O50" s="215"/>
    </row>
    <row r="51" spans="1:15" ht="25.5">
      <c r="A51" s="210" t="s">
        <v>239</v>
      </c>
      <c r="B51" s="211" t="s">
        <v>240</v>
      </c>
      <c r="C51" s="134"/>
      <c r="D51" s="212">
        <v>35</v>
      </c>
      <c r="E51" s="207">
        <f>SUM(C51:D51)</f>
        <v>35</v>
      </c>
      <c r="F51" s="134"/>
      <c r="G51" s="114"/>
      <c r="H51" s="114">
        <v>408</v>
      </c>
      <c r="I51" s="213"/>
      <c r="J51" s="207">
        <f>SUM(H51:I51)</f>
        <v>408</v>
      </c>
      <c r="K51" s="207">
        <f>SUM(F51,G51,J51)</f>
        <v>408</v>
      </c>
      <c r="L51" s="214">
        <f>SUM(E51,K51)</f>
        <v>443</v>
      </c>
      <c r="M51" s="214"/>
      <c r="N51" s="214">
        <f>SUM(L51,M51)</f>
        <v>443</v>
      </c>
      <c r="O51" s="215"/>
    </row>
    <row r="52" spans="1:15" ht="13.5" thickBot="1">
      <c r="A52" s="210" t="s">
        <v>318</v>
      </c>
      <c r="B52" s="211" t="s">
        <v>373</v>
      </c>
      <c r="C52" s="134"/>
      <c r="D52" s="212">
        <v>121</v>
      </c>
      <c r="E52" s="207">
        <f>SUM(C52:D52)</f>
        <v>121</v>
      </c>
      <c r="F52" s="134">
        <v>40</v>
      </c>
      <c r="G52" s="114"/>
      <c r="H52" s="114">
        <v>1514</v>
      </c>
      <c r="I52" s="213"/>
      <c r="J52" s="207">
        <f>SUM(H52:I52)</f>
        <v>1514</v>
      </c>
      <c r="K52" s="207">
        <f>SUM(F52,G52,J52)</f>
        <v>1554</v>
      </c>
      <c r="L52" s="214">
        <f>SUM(E52,K52)</f>
        <v>1675</v>
      </c>
      <c r="M52" s="214"/>
      <c r="N52" s="214">
        <f>SUM(L52,M52)</f>
        <v>1675</v>
      </c>
      <c r="O52" s="215"/>
    </row>
    <row r="53" spans="1:15" ht="14.25" customHeight="1" thickBot="1">
      <c r="A53" s="217"/>
      <c r="B53" s="218" t="s">
        <v>241</v>
      </c>
      <c r="C53" s="230">
        <f aca="true" t="shared" si="20" ref="C53:O53">SUM(C47:C52)</f>
        <v>28542</v>
      </c>
      <c r="D53" s="229">
        <f t="shared" si="20"/>
        <v>11838</v>
      </c>
      <c r="E53" s="219">
        <f t="shared" si="20"/>
        <v>40380</v>
      </c>
      <c r="F53" s="230">
        <f t="shared" si="20"/>
        <v>11064.599</v>
      </c>
      <c r="G53" s="221">
        <f t="shared" si="20"/>
        <v>570.1</v>
      </c>
      <c r="H53" s="221">
        <f t="shared" si="20"/>
        <v>24611</v>
      </c>
      <c r="I53" s="221">
        <f t="shared" si="20"/>
        <v>0</v>
      </c>
      <c r="J53" s="219">
        <f t="shared" si="20"/>
        <v>24611</v>
      </c>
      <c r="K53" s="219">
        <f t="shared" si="20"/>
        <v>36245.699</v>
      </c>
      <c r="L53" s="219">
        <f t="shared" si="20"/>
        <v>76625.699</v>
      </c>
      <c r="M53" s="219">
        <f t="shared" si="20"/>
        <v>2001</v>
      </c>
      <c r="N53" s="219">
        <f t="shared" si="20"/>
        <v>78626.699</v>
      </c>
      <c r="O53" s="220">
        <f t="shared" si="20"/>
        <v>73.17</v>
      </c>
    </row>
    <row r="54" spans="1:15" ht="12.75">
      <c r="A54" s="200" t="s">
        <v>319</v>
      </c>
      <c r="B54" s="201" t="s">
        <v>374</v>
      </c>
      <c r="C54" s="202"/>
      <c r="D54" s="203">
        <v>20</v>
      </c>
      <c r="E54" s="204">
        <f>SUM(C54:D54)</f>
        <v>20</v>
      </c>
      <c r="F54" s="205"/>
      <c r="G54" s="202"/>
      <c r="H54" s="202">
        <v>61</v>
      </c>
      <c r="I54" s="202"/>
      <c r="J54" s="204">
        <f>SUM(H54:I54)</f>
        <v>61</v>
      </c>
      <c r="K54" s="204">
        <f>SUM(F54,G54,J54)</f>
        <v>61</v>
      </c>
      <c r="L54" s="208">
        <f>SUM(E54,K54)</f>
        <v>81</v>
      </c>
      <c r="M54" s="208"/>
      <c r="N54" s="208">
        <f>SUM(L54,M54)</f>
        <v>81</v>
      </c>
      <c r="O54" s="209"/>
    </row>
    <row r="55" spans="1:15" ht="25.5">
      <c r="A55" s="200" t="s">
        <v>320</v>
      </c>
      <c r="B55" s="201" t="s">
        <v>321</v>
      </c>
      <c r="C55" s="202">
        <v>10</v>
      </c>
      <c r="D55" s="203"/>
      <c r="E55" s="204">
        <f>SUM(C55:D55)</f>
        <v>10</v>
      </c>
      <c r="F55" s="205">
        <v>4</v>
      </c>
      <c r="G55" s="202"/>
      <c r="H55" s="202"/>
      <c r="I55" s="202"/>
      <c r="J55" s="204">
        <f>SUM(H55:I55)</f>
        <v>0</v>
      </c>
      <c r="K55" s="204">
        <f>SUM(F55,G55,J55)</f>
        <v>4</v>
      </c>
      <c r="L55" s="208">
        <f>SUM(E55,K55)</f>
        <v>14</v>
      </c>
      <c r="M55" s="208"/>
      <c r="N55" s="208">
        <f>SUM(L55,M55)</f>
        <v>14</v>
      </c>
      <c r="O55" s="209"/>
    </row>
    <row r="56" spans="1:15" ht="12.75">
      <c r="A56" s="200" t="s">
        <v>242</v>
      </c>
      <c r="B56" s="201" t="s">
        <v>243</v>
      </c>
      <c r="C56" s="202">
        <v>4544</v>
      </c>
      <c r="D56" s="203">
        <v>829</v>
      </c>
      <c r="E56" s="204">
        <f>SUM(C56:D56)</f>
        <v>5373</v>
      </c>
      <c r="F56" s="205">
        <v>1786</v>
      </c>
      <c r="G56" s="202">
        <v>91</v>
      </c>
      <c r="H56" s="202">
        <v>5684</v>
      </c>
      <c r="I56" s="202"/>
      <c r="J56" s="204">
        <f>SUM(H56:I56)</f>
        <v>5684</v>
      </c>
      <c r="K56" s="204">
        <f>SUM(F56,G56,J56)</f>
        <v>7561</v>
      </c>
      <c r="L56" s="208">
        <f>SUM(E56,K56)</f>
        <v>12934</v>
      </c>
      <c r="M56" s="208">
        <v>269</v>
      </c>
      <c r="N56" s="208">
        <f>SUM(L56,M56)</f>
        <v>13203</v>
      </c>
      <c r="O56" s="209">
        <v>15.24</v>
      </c>
    </row>
    <row r="57" spans="1:15" ht="12.75">
      <c r="A57" s="200" t="s">
        <v>279</v>
      </c>
      <c r="B57" s="201" t="s">
        <v>280</v>
      </c>
      <c r="C57" s="202"/>
      <c r="D57" s="203"/>
      <c r="E57" s="204">
        <f>SUM(C57:D57)</f>
        <v>0</v>
      </c>
      <c r="F57" s="205"/>
      <c r="G57" s="202"/>
      <c r="H57" s="202">
        <v>200</v>
      </c>
      <c r="I57" s="202"/>
      <c r="J57" s="204">
        <f>SUM(H57:I57)</f>
        <v>200</v>
      </c>
      <c r="K57" s="204">
        <f>SUM(F57,G57,J57)</f>
        <v>200</v>
      </c>
      <c r="L57" s="208">
        <f>SUM(E57,K57)</f>
        <v>200</v>
      </c>
      <c r="M57" s="208"/>
      <c r="N57" s="208">
        <f>SUM(L57,M57)</f>
        <v>200</v>
      </c>
      <c r="O57" s="209"/>
    </row>
    <row r="58" spans="1:15" ht="13.5" thickBot="1">
      <c r="A58" s="200" t="s">
        <v>244</v>
      </c>
      <c r="B58" s="201" t="s">
        <v>387</v>
      </c>
      <c r="C58" s="202"/>
      <c r="D58" s="203"/>
      <c r="E58" s="204">
        <f>SUM(C58:D58)</f>
        <v>0</v>
      </c>
      <c r="F58" s="205"/>
      <c r="G58" s="202"/>
      <c r="H58" s="202">
        <v>13</v>
      </c>
      <c r="I58" s="202"/>
      <c r="J58" s="204">
        <f>SUM(H58:I58)</f>
        <v>13</v>
      </c>
      <c r="K58" s="204">
        <f>SUM(F58,G58,J58)</f>
        <v>13</v>
      </c>
      <c r="L58" s="208">
        <f>SUM(E58,K58)</f>
        <v>13</v>
      </c>
      <c r="M58" s="208"/>
      <c r="N58" s="208">
        <f>SUM(L58,M58)</f>
        <v>13</v>
      </c>
      <c r="O58" s="209"/>
    </row>
    <row r="59" spans="1:15" ht="14.25" customHeight="1" thickBot="1">
      <c r="A59" s="217"/>
      <c r="B59" s="218" t="s">
        <v>245</v>
      </c>
      <c r="C59" s="221">
        <f aca="true" t="shared" si="21" ref="C59:O59">SUM(C54:C58)</f>
        <v>4554</v>
      </c>
      <c r="D59" s="229">
        <f t="shared" si="21"/>
        <v>849</v>
      </c>
      <c r="E59" s="219">
        <f t="shared" si="21"/>
        <v>5403</v>
      </c>
      <c r="F59" s="230">
        <f t="shared" si="21"/>
        <v>1790</v>
      </c>
      <c r="G59" s="221">
        <f t="shared" si="21"/>
        <v>91</v>
      </c>
      <c r="H59" s="221">
        <f t="shared" si="21"/>
        <v>5958</v>
      </c>
      <c r="I59" s="221">
        <f t="shared" si="21"/>
        <v>0</v>
      </c>
      <c r="J59" s="219">
        <f t="shared" si="21"/>
        <v>5958</v>
      </c>
      <c r="K59" s="219">
        <f t="shared" si="21"/>
        <v>7839</v>
      </c>
      <c r="L59" s="219">
        <f t="shared" si="21"/>
        <v>13242</v>
      </c>
      <c r="M59" s="219">
        <f t="shared" si="21"/>
        <v>269</v>
      </c>
      <c r="N59" s="219">
        <f t="shared" si="21"/>
        <v>13511</v>
      </c>
      <c r="O59" s="220">
        <f t="shared" si="21"/>
        <v>15.24</v>
      </c>
    </row>
    <row r="60" spans="1:15" ht="13.5" thickBot="1">
      <c r="A60" s="342"/>
      <c r="B60" s="343" t="s">
        <v>331</v>
      </c>
      <c r="C60" s="414">
        <v>20027</v>
      </c>
      <c r="D60" s="415">
        <v>6918</v>
      </c>
      <c r="E60" s="344">
        <v>26945</v>
      </c>
      <c r="F60" s="414">
        <v>8540.46</v>
      </c>
      <c r="G60" s="416">
        <v>400.54</v>
      </c>
      <c r="H60" s="416">
        <v>29629.731</v>
      </c>
      <c r="I60" s="415"/>
      <c r="J60" s="344">
        <v>29629.731</v>
      </c>
      <c r="K60" s="344">
        <v>38570.731</v>
      </c>
      <c r="L60" s="344">
        <v>65515.731</v>
      </c>
      <c r="M60" s="344"/>
      <c r="N60" s="344">
        <v>65515.731</v>
      </c>
      <c r="O60" s="345">
        <v>41</v>
      </c>
    </row>
    <row r="61" spans="1:15" ht="25.5">
      <c r="A61" s="200" t="s">
        <v>281</v>
      </c>
      <c r="B61" s="201" t="s">
        <v>408</v>
      </c>
      <c r="C61" s="202">
        <v>70</v>
      </c>
      <c r="D61" s="203">
        <v>71</v>
      </c>
      <c r="E61" s="207">
        <f aca="true" t="shared" si="22" ref="E61:E66">SUM(C61:D61)</f>
        <v>141</v>
      </c>
      <c r="F61" s="205">
        <v>24</v>
      </c>
      <c r="G61" s="202">
        <v>1</v>
      </c>
      <c r="H61" s="202">
        <v>341</v>
      </c>
      <c r="I61" s="202"/>
      <c r="J61" s="207">
        <f aca="true" t="shared" si="23" ref="J61:J66">SUM(H61:I61)</f>
        <v>341</v>
      </c>
      <c r="K61" s="207">
        <f aca="true" t="shared" si="24" ref="K61:K66">SUM(F61,G61,J61)</f>
        <v>366</v>
      </c>
      <c r="L61" s="214">
        <f aca="true" t="shared" si="25" ref="L61:L66">SUM(E61,K61)</f>
        <v>507</v>
      </c>
      <c r="M61" s="214"/>
      <c r="N61" s="214">
        <f aca="true" t="shared" si="26" ref="N61:N66">SUM(L61,M61)</f>
        <v>507</v>
      </c>
      <c r="O61" s="209"/>
    </row>
    <row r="62" spans="1:15" ht="12.75">
      <c r="A62" s="200" t="s">
        <v>322</v>
      </c>
      <c r="B62" s="201" t="s">
        <v>282</v>
      </c>
      <c r="C62" s="202"/>
      <c r="D62" s="203">
        <v>180</v>
      </c>
      <c r="E62" s="207">
        <f t="shared" si="22"/>
        <v>180</v>
      </c>
      <c r="F62" s="205"/>
      <c r="G62" s="202"/>
      <c r="H62" s="202">
        <v>820</v>
      </c>
      <c r="I62" s="202"/>
      <c r="J62" s="207">
        <f t="shared" si="23"/>
        <v>820</v>
      </c>
      <c r="K62" s="207">
        <f t="shared" si="24"/>
        <v>820</v>
      </c>
      <c r="L62" s="214">
        <f t="shared" si="25"/>
        <v>1000</v>
      </c>
      <c r="M62" s="214"/>
      <c r="N62" s="214">
        <f t="shared" si="26"/>
        <v>1000</v>
      </c>
      <c r="O62" s="209"/>
    </row>
    <row r="63" spans="1:15" ht="12.75">
      <c r="A63" s="200" t="s">
        <v>376</v>
      </c>
      <c r="B63" s="201" t="s">
        <v>377</v>
      </c>
      <c r="C63" s="202"/>
      <c r="D63" s="203">
        <v>189</v>
      </c>
      <c r="E63" s="207">
        <f t="shared" si="22"/>
        <v>189</v>
      </c>
      <c r="F63" s="205"/>
      <c r="G63" s="202"/>
      <c r="H63" s="202">
        <v>925</v>
      </c>
      <c r="I63" s="202"/>
      <c r="J63" s="207">
        <f t="shared" si="23"/>
        <v>925</v>
      </c>
      <c r="K63" s="207">
        <f t="shared" si="24"/>
        <v>925</v>
      </c>
      <c r="L63" s="214">
        <f t="shared" si="25"/>
        <v>1114</v>
      </c>
      <c r="M63" s="214"/>
      <c r="N63" s="214">
        <f t="shared" si="26"/>
        <v>1114</v>
      </c>
      <c r="O63" s="209"/>
    </row>
    <row r="64" spans="1:15" ht="12.75">
      <c r="A64" s="200" t="s">
        <v>246</v>
      </c>
      <c r="B64" s="201" t="s">
        <v>247</v>
      </c>
      <c r="C64" s="202">
        <v>13654</v>
      </c>
      <c r="D64" s="203">
        <v>2394</v>
      </c>
      <c r="E64" s="207">
        <f t="shared" si="22"/>
        <v>16048</v>
      </c>
      <c r="F64" s="205">
        <v>4877</v>
      </c>
      <c r="G64" s="202">
        <v>273</v>
      </c>
      <c r="H64" s="202">
        <v>6412</v>
      </c>
      <c r="I64" s="202"/>
      <c r="J64" s="207">
        <f t="shared" si="23"/>
        <v>6412</v>
      </c>
      <c r="K64" s="207">
        <f t="shared" si="24"/>
        <v>11562</v>
      </c>
      <c r="L64" s="214">
        <f t="shared" si="25"/>
        <v>27610</v>
      </c>
      <c r="M64" s="214">
        <v>6895</v>
      </c>
      <c r="N64" s="214">
        <f t="shared" si="26"/>
        <v>34505</v>
      </c>
      <c r="O64" s="209">
        <v>51</v>
      </c>
    </row>
    <row r="65" spans="1:15" ht="12.75">
      <c r="A65" s="200" t="s">
        <v>248</v>
      </c>
      <c r="B65" s="201" t="s">
        <v>249</v>
      </c>
      <c r="C65" s="202">
        <v>300</v>
      </c>
      <c r="D65" s="203">
        <v>830</v>
      </c>
      <c r="E65" s="207">
        <f t="shared" si="22"/>
        <v>1130</v>
      </c>
      <c r="F65" s="205">
        <v>294</v>
      </c>
      <c r="G65" s="202">
        <v>6</v>
      </c>
      <c r="H65" s="202">
        <v>10422</v>
      </c>
      <c r="I65" s="202"/>
      <c r="J65" s="207">
        <f t="shared" si="23"/>
        <v>10422</v>
      </c>
      <c r="K65" s="207">
        <f t="shared" si="24"/>
        <v>10722</v>
      </c>
      <c r="L65" s="214">
        <f t="shared" si="25"/>
        <v>11852</v>
      </c>
      <c r="M65" s="214">
        <v>6044</v>
      </c>
      <c r="N65" s="214">
        <f t="shared" si="26"/>
        <v>17896</v>
      </c>
      <c r="O65" s="209">
        <v>14</v>
      </c>
    </row>
    <row r="66" spans="1:15" ht="13.5" thickBot="1">
      <c r="A66" s="200" t="s">
        <v>250</v>
      </c>
      <c r="B66" s="201" t="s">
        <v>251</v>
      </c>
      <c r="C66" s="202"/>
      <c r="D66" s="203">
        <v>1610</v>
      </c>
      <c r="E66" s="207">
        <f t="shared" si="22"/>
        <v>1610</v>
      </c>
      <c r="F66" s="205"/>
      <c r="G66" s="202"/>
      <c r="H66" s="202">
        <v>4806</v>
      </c>
      <c r="I66" s="202"/>
      <c r="J66" s="207">
        <f t="shared" si="23"/>
        <v>4806</v>
      </c>
      <c r="K66" s="207">
        <f t="shared" si="24"/>
        <v>4806</v>
      </c>
      <c r="L66" s="214">
        <f t="shared" si="25"/>
        <v>6416</v>
      </c>
      <c r="M66" s="214">
        <v>2600</v>
      </c>
      <c r="N66" s="214">
        <f t="shared" si="26"/>
        <v>9016</v>
      </c>
      <c r="O66" s="209"/>
    </row>
    <row r="67" spans="1:15" ht="14.25" customHeight="1" thickBot="1">
      <c r="A67" s="217"/>
      <c r="B67" s="218" t="s">
        <v>252</v>
      </c>
      <c r="C67" s="219">
        <f aca="true" t="shared" si="27" ref="C67:O67">SUM(C60:C66)</f>
        <v>34051</v>
      </c>
      <c r="D67" s="219">
        <f t="shared" si="27"/>
        <v>12192</v>
      </c>
      <c r="E67" s="219">
        <f t="shared" si="27"/>
        <v>46243</v>
      </c>
      <c r="F67" s="219">
        <f t="shared" si="27"/>
        <v>13735.46</v>
      </c>
      <c r="G67" s="219">
        <f t="shared" si="27"/>
        <v>680.54</v>
      </c>
      <c r="H67" s="219">
        <f t="shared" si="27"/>
        <v>53355.731</v>
      </c>
      <c r="I67" s="219">
        <f t="shared" si="27"/>
        <v>0</v>
      </c>
      <c r="J67" s="219">
        <f t="shared" si="27"/>
        <v>53355.731</v>
      </c>
      <c r="K67" s="219">
        <f t="shared" si="27"/>
        <v>67771.731</v>
      </c>
      <c r="L67" s="219">
        <f t="shared" si="27"/>
        <v>114014.731</v>
      </c>
      <c r="M67" s="219">
        <f t="shared" si="27"/>
        <v>15539</v>
      </c>
      <c r="N67" s="219">
        <f t="shared" si="27"/>
        <v>129553.731</v>
      </c>
      <c r="O67" s="220">
        <f t="shared" si="27"/>
        <v>106</v>
      </c>
    </row>
    <row r="68" spans="1:15" ht="12.75">
      <c r="A68" s="200" t="s">
        <v>378</v>
      </c>
      <c r="B68" s="201" t="s">
        <v>389</v>
      </c>
      <c r="C68" s="202"/>
      <c r="D68" s="203"/>
      <c r="E68" s="204">
        <f aca="true" t="shared" si="28" ref="E68:E74">SUM(C68:D68)</f>
        <v>0</v>
      </c>
      <c r="F68" s="205"/>
      <c r="G68" s="202"/>
      <c r="H68" s="202">
        <v>24000</v>
      </c>
      <c r="I68" s="202"/>
      <c r="J68" s="204">
        <f aca="true" t="shared" si="29" ref="J68:J74">SUM(H68:I68)</f>
        <v>24000</v>
      </c>
      <c r="K68" s="204">
        <f aca="true" t="shared" si="30" ref="K68:K74">SUM(F68,G68,J68)</f>
        <v>24000</v>
      </c>
      <c r="L68" s="208">
        <f aca="true" t="shared" si="31" ref="L68:L74">SUM(E68,K68)</f>
        <v>24000</v>
      </c>
      <c r="M68" s="208"/>
      <c r="N68" s="208">
        <f aca="true" t="shared" si="32" ref="N68:N74">SUM(L68,M68)</f>
        <v>24000</v>
      </c>
      <c r="O68" s="209"/>
    </row>
    <row r="69" spans="1:15" ht="12.75">
      <c r="A69" s="210" t="s">
        <v>253</v>
      </c>
      <c r="B69" s="211" t="s">
        <v>382</v>
      </c>
      <c r="C69" s="114">
        <v>40087</v>
      </c>
      <c r="D69" s="212">
        <v>500</v>
      </c>
      <c r="E69" s="207">
        <f t="shared" si="28"/>
        <v>40587</v>
      </c>
      <c r="F69" s="134">
        <v>13630</v>
      </c>
      <c r="G69" s="114">
        <v>801</v>
      </c>
      <c r="H69" s="114">
        <v>69312</v>
      </c>
      <c r="I69" s="114"/>
      <c r="J69" s="207">
        <f t="shared" si="29"/>
        <v>69312</v>
      </c>
      <c r="K69" s="207">
        <f t="shared" si="30"/>
        <v>83743</v>
      </c>
      <c r="L69" s="214">
        <f t="shared" si="31"/>
        <v>124330</v>
      </c>
      <c r="M69" s="214">
        <v>6517</v>
      </c>
      <c r="N69" s="214">
        <f t="shared" si="32"/>
        <v>130847</v>
      </c>
      <c r="O69" s="215">
        <v>156</v>
      </c>
    </row>
    <row r="70" spans="1:15" ht="12.75">
      <c r="A70" s="210" t="s">
        <v>379</v>
      </c>
      <c r="B70" s="211" t="s">
        <v>383</v>
      </c>
      <c r="C70" s="114"/>
      <c r="D70" s="212"/>
      <c r="E70" s="207">
        <f t="shared" si="28"/>
        <v>0</v>
      </c>
      <c r="F70" s="134"/>
      <c r="G70" s="114"/>
      <c r="H70" s="114"/>
      <c r="I70" s="114">
        <v>16145</v>
      </c>
      <c r="J70" s="207">
        <f t="shared" si="29"/>
        <v>16145</v>
      </c>
      <c r="K70" s="207">
        <f t="shared" si="30"/>
        <v>16145</v>
      </c>
      <c r="L70" s="214">
        <f t="shared" si="31"/>
        <v>16145</v>
      </c>
      <c r="M70" s="214"/>
      <c r="N70" s="214">
        <f t="shared" si="32"/>
        <v>16145</v>
      </c>
      <c r="O70" s="215"/>
    </row>
    <row r="71" spans="1:15" ht="12.75">
      <c r="A71" s="210" t="s">
        <v>254</v>
      </c>
      <c r="B71" s="211" t="s">
        <v>384</v>
      </c>
      <c r="C71" s="114"/>
      <c r="D71" s="212"/>
      <c r="E71" s="207">
        <f t="shared" si="28"/>
        <v>0</v>
      </c>
      <c r="F71" s="134"/>
      <c r="G71" s="114"/>
      <c r="H71" s="114">
        <v>27189</v>
      </c>
      <c r="I71" s="114"/>
      <c r="J71" s="207">
        <f t="shared" si="29"/>
        <v>27189</v>
      </c>
      <c r="K71" s="207">
        <f t="shared" si="30"/>
        <v>27189</v>
      </c>
      <c r="L71" s="214">
        <f t="shared" si="31"/>
        <v>27189</v>
      </c>
      <c r="M71" s="214"/>
      <c r="N71" s="214">
        <f t="shared" si="32"/>
        <v>27189</v>
      </c>
      <c r="O71" s="215"/>
    </row>
    <row r="72" spans="1:15" ht="25.5">
      <c r="A72" s="210" t="s">
        <v>380</v>
      </c>
      <c r="B72" s="211" t="s">
        <v>385</v>
      </c>
      <c r="C72" s="114"/>
      <c r="D72" s="212"/>
      <c r="E72" s="207">
        <f t="shared" si="28"/>
        <v>0</v>
      </c>
      <c r="F72" s="134"/>
      <c r="G72" s="114"/>
      <c r="H72" s="114">
        <v>61000</v>
      </c>
      <c r="I72" s="114"/>
      <c r="J72" s="207">
        <f t="shared" si="29"/>
        <v>61000</v>
      </c>
      <c r="K72" s="207">
        <f t="shared" si="30"/>
        <v>61000</v>
      </c>
      <c r="L72" s="214">
        <f t="shared" si="31"/>
        <v>61000</v>
      </c>
      <c r="M72" s="214"/>
      <c r="N72" s="214">
        <f t="shared" si="32"/>
        <v>61000</v>
      </c>
      <c r="O72" s="215"/>
    </row>
    <row r="73" spans="1:15" ht="12.75">
      <c r="A73" s="210" t="s">
        <v>255</v>
      </c>
      <c r="B73" s="211" t="s">
        <v>386</v>
      </c>
      <c r="C73" s="114"/>
      <c r="D73" s="212">
        <v>16</v>
      </c>
      <c r="E73" s="207">
        <f t="shared" si="28"/>
        <v>16</v>
      </c>
      <c r="F73" s="134"/>
      <c r="G73" s="114"/>
      <c r="H73" s="114">
        <v>183</v>
      </c>
      <c r="I73" s="114"/>
      <c r="J73" s="207">
        <f t="shared" si="29"/>
        <v>183</v>
      </c>
      <c r="K73" s="207">
        <f t="shared" si="30"/>
        <v>183</v>
      </c>
      <c r="L73" s="214">
        <f t="shared" si="31"/>
        <v>199</v>
      </c>
      <c r="M73" s="214"/>
      <c r="N73" s="214">
        <f t="shared" si="32"/>
        <v>199</v>
      </c>
      <c r="O73" s="215"/>
    </row>
    <row r="74" spans="1:15" ht="13.5" thickBot="1">
      <c r="A74" s="200" t="s">
        <v>381</v>
      </c>
      <c r="B74" s="201" t="s">
        <v>388</v>
      </c>
      <c r="C74" s="202">
        <v>12</v>
      </c>
      <c r="D74" s="203"/>
      <c r="E74" s="204">
        <f t="shared" si="28"/>
        <v>12</v>
      </c>
      <c r="F74" s="205">
        <v>4</v>
      </c>
      <c r="G74" s="202"/>
      <c r="H74" s="202">
        <v>71459</v>
      </c>
      <c r="I74" s="202"/>
      <c r="J74" s="204">
        <f t="shared" si="29"/>
        <v>71459</v>
      </c>
      <c r="K74" s="204">
        <f t="shared" si="30"/>
        <v>71463</v>
      </c>
      <c r="L74" s="208">
        <f t="shared" si="31"/>
        <v>71475</v>
      </c>
      <c r="M74" s="208"/>
      <c r="N74" s="208">
        <f t="shared" si="32"/>
        <v>71475</v>
      </c>
      <c r="O74" s="209"/>
    </row>
    <row r="75" spans="1:15" ht="14.25" customHeight="1" thickBot="1">
      <c r="A75" s="217"/>
      <c r="B75" s="218" t="s">
        <v>375</v>
      </c>
      <c r="C75" s="221">
        <f aca="true" t="shared" si="33" ref="C75:O75">SUM(C68:C74)</f>
        <v>40099</v>
      </c>
      <c r="D75" s="229">
        <f t="shared" si="33"/>
        <v>516</v>
      </c>
      <c r="E75" s="219">
        <f t="shared" si="33"/>
        <v>40615</v>
      </c>
      <c r="F75" s="230">
        <f t="shared" si="33"/>
        <v>13634</v>
      </c>
      <c r="G75" s="221">
        <f t="shared" si="33"/>
        <v>801</v>
      </c>
      <c r="H75" s="221">
        <f t="shared" si="33"/>
        <v>253143</v>
      </c>
      <c r="I75" s="221">
        <f t="shared" si="33"/>
        <v>16145</v>
      </c>
      <c r="J75" s="219">
        <f t="shared" si="33"/>
        <v>269288</v>
      </c>
      <c r="K75" s="219">
        <f t="shared" si="33"/>
        <v>283723</v>
      </c>
      <c r="L75" s="219">
        <f t="shared" si="33"/>
        <v>324338</v>
      </c>
      <c r="M75" s="219">
        <f t="shared" si="33"/>
        <v>6517</v>
      </c>
      <c r="N75" s="219">
        <f t="shared" si="33"/>
        <v>330855</v>
      </c>
      <c r="O75" s="220">
        <f t="shared" si="33"/>
        <v>156</v>
      </c>
    </row>
    <row r="76" spans="1:15" ht="12.75">
      <c r="A76" s="200" t="s">
        <v>256</v>
      </c>
      <c r="B76" s="201" t="s">
        <v>257</v>
      </c>
      <c r="C76" s="237"/>
      <c r="D76" s="238"/>
      <c r="E76" s="239">
        <f>SUM(C76:D76)</f>
        <v>0</v>
      </c>
      <c r="F76" s="240"/>
      <c r="G76" s="237"/>
      <c r="H76" s="202">
        <v>7046</v>
      </c>
      <c r="I76" s="202"/>
      <c r="J76" s="204">
        <f>SUM(H76:I76)</f>
        <v>7046</v>
      </c>
      <c r="K76" s="204">
        <f>SUM(F76,G76,J76)</f>
        <v>7046</v>
      </c>
      <c r="L76" s="241">
        <f>SUM(E76,K76)</f>
        <v>7046</v>
      </c>
      <c r="M76" s="241">
        <v>120</v>
      </c>
      <c r="N76" s="241">
        <f>SUM(L76,M76)</f>
        <v>7166</v>
      </c>
      <c r="O76" s="242"/>
    </row>
    <row r="77" spans="1:15" ht="13.5" thickBot="1">
      <c r="A77" s="200" t="s">
        <v>323</v>
      </c>
      <c r="B77" s="211" t="s">
        <v>324</v>
      </c>
      <c r="C77" s="114"/>
      <c r="D77" s="212"/>
      <c r="E77" s="207">
        <f>SUM(C77:D77)</f>
        <v>0</v>
      </c>
      <c r="F77" s="134"/>
      <c r="G77" s="114"/>
      <c r="H77" s="114">
        <v>5500</v>
      </c>
      <c r="I77" s="114"/>
      <c r="J77" s="207">
        <f>SUM(H77:I77)</f>
        <v>5500</v>
      </c>
      <c r="K77" s="207">
        <f>SUM(F77,G77,J77)</f>
        <v>5500</v>
      </c>
      <c r="L77" s="214">
        <f>SUM(E77,K77)</f>
        <v>5500</v>
      </c>
      <c r="M77" s="214"/>
      <c r="N77" s="214">
        <f>SUM(L77,M77)</f>
        <v>5500</v>
      </c>
      <c r="O77" s="215"/>
    </row>
    <row r="78" spans="1:15" ht="15" customHeight="1" thickBot="1">
      <c r="A78" s="217"/>
      <c r="B78" s="218" t="s">
        <v>258</v>
      </c>
      <c r="C78" s="221">
        <f aca="true" t="shared" si="34" ref="C78:O78">SUM(C76:C77)</f>
        <v>0</v>
      </c>
      <c r="D78" s="229">
        <f t="shared" si="34"/>
        <v>0</v>
      </c>
      <c r="E78" s="219">
        <f t="shared" si="34"/>
        <v>0</v>
      </c>
      <c r="F78" s="230">
        <f t="shared" si="34"/>
        <v>0</v>
      </c>
      <c r="G78" s="221">
        <f t="shared" si="34"/>
        <v>0</v>
      </c>
      <c r="H78" s="221">
        <f t="shared" si="34"/>
        <v>12546</v>
      </c>
      <c r="I78" s="221">
        <f t="shared" si="34"/>
        <v>0</v>
      </c>
      <c r="J78" s="219">
        <f t="shared" si="34"/>
        <v>12546</v>
      </c>
      <c r="K78" s="219">
        <f t="shared" si="34"/>
        <v>12546</v>
      </c>
      <c r="L78" s="219">
        <f t="shared" si="34"/>
        <v>12546</v>
      </c>
      <c r="M78" s="219">
        <f t="shared" si="34"/>
        <v>120</v>
      </c>
      <c r="N78" s="219">
        <f t="shared" si="34"/>
        <v>12666</v>
      </c>
      <c r="O78" s="220">
        <f t="shared" si="34"/>
        <v>0</v>
      </c>
    </row>
    <row r="79" spans="1:19" s="178" customFormat="1" ht="13.5" thickBot="1">
      <c r="A79" s="342"/>
      <c r="B79" s="343" t="s">
        <v>332</v>
      </c>
      <c r="C79" s="414">
        <v>7375</v>
      </c>
      <c r="D79" s="415">
        <v>14644</v>
      </c>
      <c r="E79" s="344">
        <v>22019</v>
      </c>
      <c r="F79" s="414">
        <v>4484.5</v>
      </c>
      <c r="G79" s="416">
        <v>147.5</v>
      </c>
      <c r="H79" s="416">
        <v>19188.246</v>
      </c>
      <c r="I79" s="415"/>
      <c r="J79" s="344">
        <v>19188.246</v>
      </c>
      <c r="K79" s="344">
        <v>23820.246</v>
      </c>
      <c r="L79" s="344">
        <v>45839.246</v>
      </c>
      <c r="M79" s="344"/>
      <c r="N79" s="344">
        <v>45839.246</v>
      </c>
      <c r="O79" s="345">
        <v>16.64</v>
      </c>
      <c r="P79"/>
      <c r="Q79"/>
      <c r="R79"/>
      <c r="S79"/>
    </row>
    <row r="80" spans="1:19" s="178" customFormat="1" ht="12.75">
      <c r="A80" s="231" t="s">
        <v>259</v>
      </c>
      <c r="B80" s="232" t="s">
        <v>260</v>
      </c>
      <c r="C80" s="233">
        <v>22922</v>
      </c>
      <c r="D80" s="234">
        <v>14626</v>
      </c>
      <c r="E80" s="207">
        <f>SUM(C80:D80)</f>
        <v>37548</v>
      </c>
      <c r="F80" s="134">
        <v>6650</v>
      </c>
      <c r="G80" s="114">
        <v>458</v>
      </c>
      <c r="H80" s="114">
        <v>3922</v>
      </c>
      <c r="I80" s="114"/>
      <c r="J80" s="207">
        <f>SUM(H80:I80)</f>
        <v>3922</v>
      </c>
      <c r="K80" s="207">
        <f>SUM(F80,G80,J80)</f>
        <v>11030</v>
      </c>
      <c r="L80" s="214">
        <f>SUM(E80,K80)</f>
        <v>48578</v>
      </c>
      <c r="M80" s="214">
        <v>27445</v>
      </c>
      <c r="N80" s="214">
        <f>SUM(L80,M80)</f>
        <v>76023</v>
      </c>
      <c r="O80" s="236">
        <v>80.5</v>
      </c>
      <c r="P80"/>
      <c r="Q80"/>
      <c r="R80"/>
      <c r="S80"/>
    </row>
    <row r="81" spans="1:19" s="178" customFormat="1" ht="13.5" thickBot="1">
      <c r="A81" s="231" t="s">
        <v>325</v>
      </c>
      <c r="B81" s="232" t="s">
        <v>326</v>
      </c>
      <c r="C81" s="233">
        <v>720</v>
      </c>
      <c r="D81" s="234">
        <v>4044</v>
      </c>
      <c r="E81" s="207">
        <f>SUM(C81:D81)</f>
        <v>4764</v>
      </c>
      <c r="F81" s="134">
        <v>772</v>
      </c>
      <c r="G81" s="114">
        <v>0</v>
      </c>
      <c r="H81" s="114">
        <v>3791</v>
      </c>
      <c r="I81" s="114"/>
      <c r="J81" s="207">
        <f>SUM(H81:I81)</f>
        <v>3791</v>
      </c>
      <c r="K81" s="207">
        <f>SUM(F81,G81,J81)</f>
        <v>4563</v>
      </c>
      <c r="L81" s="214">
        <f>SUM(E81,K81)</f>
        <v>9327</v>
      </c>
      <c r="M81" s="214">
        <v>3573</v>
      </c>
      <c r="N81" s="214">
        <f>SUM(L81,M81)</f>
        <v>12900</v>
      </c>
      <c r="O81" s="236">
        <v>5</v>
      </c>
      <c r="P81"/>
      <c r="Q81"/>
      <c r="R81"/>
      <c r="S81"/>
    </row>
    <row r="82" spans="1:15" ht="14.25" customHeight="1" thickBot="1">
      <c r="A82" s="217"/>
      <c r="B82" s="218" t="s">
        <v>261</v>
      </c>
      <c r="C82" s="221">
        <f aca="true" t="shared" si="35" ref="C82:O82">SUM(C79:C81)</f>
        <v>31017</v>
      </c>
      <c r="D82" s="229">
        <f t="shared" si="35"/>
        <v>33314</v>
      </c>
      <c r="E82" s="219">
        <f t="shared" si="35"/>
        <v>64331</v>
      </c>
      <c r="F82" s="230">
        <f t="shared" si="35"/>
        <v>11906.5</v>
      </c>
      <c r="G82" s="221">
        <f t="shared" si="35"/>
        <v>605.5</v>
      </c>
      <c r="H82" s="221">
        <f t="shared" si="35"/>
        <v>26901.246</v>
      </c>
      <c r="I82" s="221">
        <f t="shared" si="35"/>
        <v>0</v>
      </c>
      <c r="J82" s="219">
        <f t="shared" si="35"/>
        <v>26901.246</v>
      </c>
      <c r="K82" s="219">
        <f t="shared" si="35"/>
        <v>39413.246</v>
      </c>
      <c r="L82" s="219">
        <f t="shared" si="35"/>
        <v>103744.246</v>
      </c>
      <c r="M82" s="219">
        <f t="shared" si="35"/>
        <v>31018</v>
      </c>
      <c r="N82" s="219">
        <f t="shared" si="35"/>
        <v>134762.24599999998</v>
      </c>
      <c r="O82" s="220">
        <f t="shared" si="35"/>
        <v>102.14</v>
      </c>
    </row>
    <row r="83" spans="1:19" s="178" customFormat="1" ht="13.5" thickBot="1">
      <c r="A83" s="342"/>
      <c r="B83" s="343" t="s">
        <v>356</v>
      </c>
      <c r="C83" s="414">
        <v>18139</v>
      </c>
      <c r="D83" s="415">
        <v>38953</v>
      </c>
      <c r="E83" s="344">
        <v>57092</v>
      </c>
      <c r="F83" s="414">
        <v>7589.22</v>
      </c>
      <c r="G83" s="416">
        <v>362.78</v>
      </c>
      <c r="H83" s="416">
        <v>50277.241</v>
      </c>
      <c r="I83" s="415"/>
      <c r="J83" s="344">
        <v>50277.241</v>
      </c>
      <c r="K83" s="344">
        <v>58229.241</v>
      </c>
      <c r="L83" s="344">
        <v>115321.24100000001</v>
      </c>
      <c r="M83" s="344"/>
      <c r="N83" s="344">
        <v>115321.24100000001</v>
      </c>
      <c r="O83" s="345">
        <v>33.4</v>
      </c>
      <c r="P83"/>
      <c r="Q83"/>
      <c r="R83"/>
      <c r="S83"/>
    </row>
    <row r="84" spans="1:15" ht="12.75">
      <c r="A84" s="210" t="s">
        <v>390</v>
      </c>
      <c r="B84" s="211" t="s">
        <v>391</v>
      </c>
      <c r="C84" s="134">
        <v>14225</v>
      </c>
      <c r="D84" s="212">
        <v>6927</v>
      </c>
      <c r="E84" s="207">
        <f>SUM(C84:D84)</f>
        <v>21152</v>
      </c>
      <c r="F84" s="134">
        <v>4892</v>
      </c>
      <c r="G84" s="114">
        <v>277</v>
      </c>
      <c r="H84" s="114">
        <v>38786</v>
      </c>
      <c r="I84" s="213"/>
      <c r="J84" s="207">
        <f>SUM(H84:I84)</f>
        <v>38786</v>
      </c>
      <c r="K84" s="207">
        <f>SUM(F84,G84,J84)</f>
        <v>43955</v>
      </c>
      <c r="L84" s="214">
        <f>SUM(E84,K84)</f>
        <v>65107</v>
      </c>
      <c r="M84" s="214">
        <v>200</v>
      </c>
      <c r="N84" s="214">
        <f>SUM(L84,M84)</f>
        <v>65307</v>
      </c>
      <c r="O84" s="215">
        <v>41</v>
      </c>
    </row>
    <row r="85" spans="1:15" ht="12.75">
      <c r="A85" s="210" t="s">
        <v>392</v>
      </c>
      <c r="B85" s="211" t="s">
        <v>393</v>
      </c>
      <c r="C85" s="134"/>
      <c r="D85" s="212">
        <v>298</v>
      </c>
      <c r="E85" s="207">
        <f>SUM(C85:D85)</f>
        <v>298</v>
      </c>
      <c r="F85" s="134"/>
      <c r="G85" s="114"/>
      <c r="H85" s="114">
        <v>8657</v>
      </c>
      <c r="I85" s="213"/>
      <c r="J85" s="207">
        <f>SUM(H85:I85)</f>
        <v>8657</v>
      </c>
      <c r="K85" s="207">
        <f>SUM(F85,G85,J85)</f>
        <v>8657</v>
      </c>
      <c r="L85" s="214">
        <f>SUM(E85,K85)</f>
        <v>8955</v>
      </c>
      <c r="M85" s="214"/>
      <c r="N85" s="214">
        <f>SUM(L85,M85)</f>
        <v>8955</v>
      </c>
      <c r="O85" s="215"/>
    </row>
    <row r="86" spans="1:15" ht="13.5" thickBot="1">
      <c r="A86" s="210" t="s">
        <v>394</v>
      </c>
      <c r="B86" s="211" t="s">
        <v>395</v>
      </c>
      <c r="C86" s="134"/>
      <c r="D86" s="212">
        <v>0</v>
      </c>
      <c r="E86" s="207">
        <f>SUM(C86:D86)</f>
        <v>0</v>
      </c>
      <c r="F86" s="134"/>
      <c r="G86" s="114"/>
      <c r="H86" s="114">
        <v>2764</v>
      </c>
      <c r="I86" s="213"/>
      <c r="J86" s="207">
        <f>SUM(H86:I86)</f>
        <v>2764</v>
      </c>
      <c r="K86" s="207">
        <f>SUM(F86,G86,J86)</f>
        <v>2764</v>
      </c>
      <c r="L86" s="214">
        <f>SUM(E86,K86)</f>
        <v>2764</v>
      </c>
      <c r="M86" s="214"/>
      <c r="N86" s="214">
        <f>SUM(L86,M86)</f>
        <v>2764</v>
      </c>
      <c r="O86" s="215"/>
    </row>
    <row r="87" spans="1:15" ht="14.25" customHeight="1" thickBot="1">
      <c r="A87" s="217"/>
      <c r="B87" s="218" t="s">
        <v>357</v>
      </c>
      <c r="C87" s="230">
        <f aca="true" t="shared" si="36" ref="C87:O87">SUM(C83:C86)</f>
        <v>32364</v>
      </c>
      <c r="D87" s="229">
        <f t="shared" si="36"/>
        <v>46178</v>
      </c>
      <c r="E87" s="219">
        <f t="shared" si="36"/>
        <v>78542</v>
      </c>
      <c r="F87" s="230">
        <f t="shared" si="36"/>
        <v>12481.220000000001</v>
      </c>
      <c r="G87" s="221">
        <f t="shared" si="36"/>
        <v>639.78</v>
      </c>
      <c r="H87" s="221">
        <f t="shared" si="36"/>
        <v>100484.24100000001</v>
      </c>
      <c r="I87" s="221">
        <f t="shared" si="36"/>
        <v>0</v>
      </c>
      <c r="J87" s="219">
        <f t="shared" si="36"/>
        <v>100484.24100000001</v>
      </c>
      <c r="K87" s="219">
        <f t="shared" si="36"/>
        <v>113605.24100000001</v>
      </c>
      <c r="L87" s="219">
        <f t="shared" si="36"/>
        <v>192147.241</v>
      </c>
      <c r="M87" s="219">
        <f t="shared" si="36"/>
        <v>200</v>
      </c>
      <c r="N87" s="219">
        <f t="shared" si="36"/>
        <v>192347.241</v>
      </c>
      <c r="O87" s="220">
        <f t="shared" si="36"/>
        <v>74.4</v>
      </c>
    </row>
    <row r="88" spans="1:15" ht="13.5" thickBot="1">
      <c r="A88" s="210" t="s">
        <v>262</v>
      </c>
      <c r="B88" s="211" t="s">
        <v>263</v>
      </c>
      <c r="C88" s="114">
        <v>1567</v>
      </c>
      <c r="D88" s="212">
        <v>1030</v>
      </c>
      <c r="E88" s="207">
        <f>SUM(C88:D88)</f>
        <v>2597</v>
      </c>
      <c r="F88" s="134">
        <v>800</v>
      </c>
      <c r="G88" s="114">
        <v>31</v>
      </c>
      <c r="H88" s="114">
        <v>1931</v>
      </c>
      <c r="I88" s="114"/>
      <c r="J88" s="207">
        <f>SUM(H88:I88)</f>
        <v>1931</v>
      </c>
      <c r="K88" s="207">
        <f>SUM(F88,G88,J88)</f>
        <v>2762</v>
      </c>
      <c r="L88" s="214">
        <f>SUM(E88,K88)</f>
        <v>5359</v>
      </c>
      <c r="M88" s="214">
        <v>1074</v>
      </c>
      <c r="N88" s="214">
        <f>SUM(L88,M88)</f>
        <v>6433</v>
      </c>
      <c r="O88" s="215">
        <v>5.66</v>
      </c>
    </row>
    <row r="89" spans="1:15" ht="14.25" customHeight="1" thickBot="1">
      <c r="A89" s="217"/>
      <c r="B89" s="218" t="s">
        <v>264</v>
      </c>
      <c r="C89" s="221">
        <f aca="true" t="shared" si="37" ref="C89:O89">SUM(C88:C88)</f>
        <v>1567</v>
      </c>
      <c r="D89" s="229">
        <f t="shared" si="37"/>
        <v>1030</v>
      </c>
      <c r="E89" s="219">
        <f t="shared" si="37"/>
        <v>2597</v>
      </c>
      <c r="F89" s="230">
        <f t="shared" si="37"/>
        <v>800</v>
      </c>
      <c r="G89" s="221">
        <f t="shared" si="37"/>
        <v>31</v>
      </c>
      <c r="H89" s="221">
        <f t="shared" si="37"/>
        <v>1931</v>
      </c>
      <c r="I89" s="221">
        <f t="shared" si="37"/>
        <v>0</v>
      </c>
      <c r="J89" s="219">
        <f t="shared" si="37"/>
        <v>1931</v>
      </c>
      <c r="K89" s="219">
        <f t="shared" si="37"/>
        <v>2762</v>
      </c>
      <c r="L89" s="219">
        <f t="shared" si="37"/>
        <v>5359</v>
      </c>
      <c r="M89" s="219">
        <f t="shared" si="37"/>
        <v>1074</v>
      </c>
      <c r="N89" s="219">
        <f t="shared" si="37"/>
        <v>6433</v>
      </c>
      <c r="O89" s="220">
        <f t="shared" si="37"/>
        <v>5.66</v>
      </c>
    </row>
    <row r="90" spans="1:15" ht="14.25" customHeight="1" thickBot="1">
      <c r="A90" s="342"/>
      <c r="B90" s="343" t="s">
        <v>333</v>
      </c>
      <c r="C90" s="414">
        <v>0</v>
      </c>
      <c r="D90" s="415">
        <v>0</v>
      </c>
      <c r="E90" s="344">
        <v>0</v>
      </c>
      <c r="F90" s="414">
        <v>0</v>
      </c>
      <c r="G90" s="416">
        <v>0</v>
      </c>
      <c r="H90" s="416">
        <v>83.61</v>
      </c>
      <c r="I90" s="415"/>
      <c r="J90" s="344">
        <v>83.61</v>
      </c>
      <c r="K90" s="344">
        <v>83.61</v>
      </c>
      <c r="L90" s="344">
        <v>83.61</v>
      </c>
      <c r="M90" s="344"/>
      <c r="N90" s="344">
        <v>83.61</v>
      </c>
      <c r="O90" s="345"/>
    </row>
    <row r="91" spans="1:15" ht="14.25" customHeight="1" thickBot="1">
      <c r="A91" s="327" t="s">
        <v>265</v>
      </c>
      <c r="B91" s="328" t="s">
        <v>266</v>
      </c>
      <c r="C91" s="329"/>
      <c r="D91" s="330"/>
      <c r="E91" s="331">
        <f>SUM(C91:D91)</f>
        <v>0</v>
      </c>
      <c r="F91" s="332"/>
      <c r="G91" s="329"/>
      <c r="H91" s="329">
        <v>2250</v>
      </c>
      <c r="I91" s="329"/>
      <c r="J91" s="331">
        <f>SUM(H91:I91)</f>
        <v>2250</v>
      </c>
      <c r="K91" s="331">
        <f>SUM(F91,G91,J91)</f>
        <v>2250</v>
      </c>
      <c r="L91" s="333">
        <f>SUM(E91,K91)</f>
        <v>2250</v>
      </c>
      <c r="M91" s="333">
        <v>7700</v>
      </c>
      <c r="N91" s="333">
        <f>SUM(L91,M91)</f>
        <v>9950</v>
      </c>
      <c r="O91" s="334"/>
    </row>
    <row r="92" spans="1:15" ht="14.25" customHeight="1" thickBot="1">
      <c r="A92" s="217"/>
      <c r="B92" s="218" t="s">
        <v>267</v>
      </c>
      <c r="C92" s="221">
        <f aca="true" t="shared" si="38" ref="C92:O92">SUM(C90:C91)</f>
        <v>0</v>
      </c>
      <c r="D92" s="221">
        <f t="shared" si="38"/>
        <v>0</v>
      </c>
      <c r="E92" s="221">
        <f t="shared" si="38"/>
        <v>0</v>
      </c>
      <c r="F92" s="221">
        <f t="shared" si="38"/>
        <v>0</v>
      </c>
      <c r="G92" s="221">
        <f t="shared" si="38"/>
        <v>0</v>
      </c>
      <c r="H92" s="221">
        <f t="shared" si="38"/>
        <v>2333.61</v>
      </c>
      <c r="I92" s="221">
        <f t="shared" si="38"/>
        <v>0</v>
      </c>
      <c r="J92" s="221">
        <f t="shared" si="38"/>
        <v>2333.61</v>
      </c>
      <c r="K92" s="221">
        <f t="shared" si="38"/>
        <v>2333.61</v>
      </c>
      <c r="L92" s="221">
        <f t="shared" si="38"/>
        <v>2333.61</v>
      </c>
      <c r="M92" s="221">
        <f t="shared" si="38"/>
        <v>7700</v>
      </c>
      <c r="N92" s="221">
        <f t="shared" si="38"/>
        <v>10033.61</v>
      </c>
      <c r="O92" s="243">
        <f t="shared" si="38"/>
        <v>0</v>
      </c>
    </row>
    <row r="93" spans="1:19" s="182" customFormat="1" ht="13.5" thickBot="1">
      <c r="A93" s="244" t="s">
        <v>268</v>
      </c>
      <c r="B93" s="245" t="s">
        <v>396</v>
      </c>
      <c r="C93" s="246">
        <v>2509</v>
      </c>
      <c r="D93" s="247">
        <v>543</v>
      </c>
      <c r="E93" s="248">
        <f>SUM(C93:D93)</f>
        <v>3052</v>
      </c>
      <c r="F93" s="249">
        <v>1004</v>
      </c>
      <c r="G93" s="246">
        <v>50</v>
      </c>
      <c r="H93" s="246">
        <v>8631</v>
      </c>
      <c r="I93" s="246"/>
      <c r="J93" s="248">
        <f>SUM(H93:I93)</f>
        <v>8631</v>
      </c>
      <c r="K93" s="248">
        <f>SUM(F93,G93,J93)</f>
        <v>9685</v>
      </c>
      <c r="L93" s="248">
        <f>SUM(E93,K93)</f>
        <v>12737</v>
      </c>
      <c r="M93" s="248">
        <v>945</v>
      </c>
      <c r="N93" s="248">
        <f>SUM(L93,M93)</f>
        <v>13682</v>
      </c>
      <c r="O93" s="250">
        <v>6</v>
      </c>
      <c r="P93"/>
      <c r="Q93"/>
      <c r="R93"/>
      <c r="S93"/>
    </row>
    <row r="94" spans="1:15" ht="14.25" customHeight="1" thickBot="1">
      <c r="A94" s="217"/>
      <c r="B94" s="218" t="s">
        <v>269</v>
      </c>
      <c r="C94" s="221">
        <f aca="true" t="shared" si="39" ref="C94:L94">SUM(C93:C93)</f>
        <v>2509</v>
      </c>
      <c r="D94" s="229">
        <f t="shared" si="39"/>
        <v>543</v>
      </c>
      <c r="E94" s="219">
        <f t="shared" si="39"/>
        <v>3052</v>
      </c>
      <c r="F94" s="230">
        <f t="shared" si="39"/>
        <v>1004</v>
      </c>
      <c r="G94" s="221">
        <f t="shared" si="39"/>
        <v>50</v>
      </c>
      <c r="H94" s="221">
        <f t="shared" si="39"/>
        <v>8631</v>
      </c>
      <c r="I94" s="221">
        <f t="shared" si="39"/>
        <v>0</v>
      </c>
      <c r="J94" s="219">
        <f t="shared" si="39"/>
        <v>8631</v>
      </c>
      <c r="K94" s="219">
        <f t="shared" si="39"/>
        <v>9685</v>
      </c>
      <c r="L94" s="219">
        <f t="shared" si="39"/>
        <v>12737</v>
      </c>
      <c r="M94" s="219">
        <f>SUM(M93:M93)</f>
        <v>945</v>
      </c>
      <c r="N94" s="219">
        <f>SUM(N93:N93)</f>
        <v>13682</v>
      </c>
      <c r="O94" s="220">
        <f>SUM(O93:O93)</f>
        <v>6</v>
      </c>
    </row>
    <row r="95" spans="1:15" ht="27.75" customHeight="1" thickBot="1">
      <c r="A95" s="251"/>
      <c r="B95" s="252" t="s">
        <v>270</v>
      </c>
      <c r="C95" s="253">
        <f aca="true" t="shared" si="40" ref="C95:O95">C13+C27+C30+C40+C46+C53+C59+C67+C75+C78+C82+C87+C89+C92+C94</f>
        <v>327341.065</v>
      </c>
      <c r="D95" s="253">
        <f t="shared" si="40"/>
        <v>212940.647</v>
      </c>
      <c r="E95" s="253">
        <f t="shared" si="40"/>
        <v>540281.712</v>
      </c>
      <c r="F95" s="253">
        <f t="shared" si="40"/>
        <v>142543.39200000002</v>
      </c>
      <c r="G95" s="253">
        <f t="shared" si="40"/>
        <v>6519.561999999999</v>
      </c>
      <c r="H95" s="253">
        <f t="shared" si="40"/>
        <v>739155.1100000001</v>
      </c>
      <c r="I95" s="253">
        <f t="shared" si="40"/>
        <v>16145</v>
      </c>
      <c r="J95" s="253">
        <f t="shared" si="40"/>
        <v>755300.1100000001</v>
      </c>
      <c r="K95" s="253">
        <f t="shared" si="40"/>
        <v>904363.0640000001</v>
      </c>
      <c r="L95" s="253">
        <f t="shared" si="40"/>
        <v>1444644.776</v>
      </c>
      <c r="M95" s="253">
        <f t="shared" si="40"/>
        <v>129404</v>
      </c>
      <c r="N95" s="253">
        <f t="shared" si="40"/>
        <v>1574048.776</v>
      </c>
      <c r="O95" s="254">
        <f t="shared" si="40"/>
        <v>987.4099999999999</v>
      </c>
    </row>
  </sheetData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U114"/>
  <sheetViews>
    <sheetView zoomScale="80" zoomScaleNormal="80" workbookViewId="0" topLeftCell="A79">
      <selection activeCell="L70" sqref="L70"/>
    </sheetView>
  </sheetViews>
  <sheetFormatPr defaultColWidth="9.140625" defaultRowHeight="12.75"/>
  <cols>
    <col min="1" max="1" width="4.421875" style="1" customWidth="1"/>
    <col min="2" max="2" width="18.57421875" style="1" customWidth="1"/>
    <col min="3" max="3" width="9.140625" style="1" customWidth="1"/>
    <col min="4" max="4" width="14.421875" style="1" customWidth="1"/>
    <col min="5" max="5" width="14.140625" style="1" customWidth="1"/>
    <col min="6" max="6" width="14.28125" style="1" customWidth="1"/>
    <col min="7" max="7" width="14.421875" style="372" bestFit="1" customWidth="1"/>
    <col min="8" max="8" width="14.57421875" style="372" customWidth="1"/>
    <col min="9" max="9" width="13.421875" style="372" bestFit="1" customWidth="1"/>
    <col min="10" max="10" width="8.8515625" style="1" customWidth="1"/>
    <col min="11" max="16384" width="9.140625" style="1" customWidth="1"/>
  </cols>
  <sheetData>
    <row r="1" spans="8:9" ht="15.75">
      <c r="H1" s="444" t="s">
        <v>173</v>
      </c>
      <c r="I1" s="445"/>
    </row>
    <row r="2" ht="15.75">
      <c r="B2" s="3" t="s">
        <v>24</v>
      </c>
    </row>
    <row r="3" ht="13.5" thickBot="1">
      <c r="H3" s="446" t="s">
        <v>1</v>
      </c>
    </row>
    <row r="4" spans="2:9" ht="13.5" thickBot="1">
      <c r="B4" s="40"/>
      <c r="C4" s="41"/>
      <c r="D4" s="42"/>
      <c r="E4" s="43" t="s">
        <v>337</v>
      </c>
      <c r="F4" s="44"/>
      <c r="G4" s="447"/>
      <c r="H4" s="448" t="s">
        <v>400</v>
      </c>
      <c r="I4" s="449"/>
    </row>
    <row r="5" spans="2:9" ht="27" customHeight="1" thickBot="1">
      <c r="B5" s="45" t="s">
        <v>3</v>
      </c>
      <c r="C5" s="46" t="s">
        <v>25</v>
      </c>
      <c r="D5" s="5" t="s">
        <v>26</v>
      </c>
      <c r="E5" s="5" t="s">
        <v>27</v>
      </c>
      <c r="F5" s="450" t="s">
        <v>404</v>
      </c>
      <c r="G5" s="450" t="s">
        <v>26</v>
      </c>
      <c r="H5" s="450" t="s">
        <v>27</v>
      </c>
      <c r="I5" s="450" t="s">
        <v>404</v>
      </c>
    </row>
    <row r="6" spans="2:9" ht="13.5" thickBot="1">
      <c r="B6" s="47"/>
      <c r="C6" s="48"/>
      <c r="D6" s="32">
        <v>241</v>
      </c>
      <c r="E6" s="32">
        <v>245</v>
      </c>
      <c r="F6" s="32">
        <v>243</v>
      </c>
      <c r="G6" s="451">
        <v>241</v>
      </c>
      <c r="H6" s="373">
        <v>245</v>
      </c>
      <c r="I6" s="373">
        <v>243</v>
      </c>
    </row>
    <row r="7" spans="2:10" ht="12.75">
      <c r="B7" s="12" t="s">
        <v>4</v>
      </c>
      <c r="C7" s="49">
        <v>911</v>
      </c>
      <c r="D7" s="442">
        <v>544</v>
      </c>
      <c r="E7" s="442"/>
      <c r="F7" s="443"/>
      <c r="G7" s="452">
        <v>544</v>
      </c>
      <c r="H7" s="374"/>
      <c r="I7" s="453"/>
      <c r="J7" s="50"/>
    </row>
    <row r="8" spans="2:10" ht="12.75">
      <c r="B8" s="16" t="s">
        <v>5</v>
      </c>
      <c r="C8" s="51">
        <v>911</v>
      </c>
      <c r="D8" s="17"/>
      <c r="E8" s="18">
        <v>159.687</v>
      </c>
      <c r="F8" s="19"/>
      <c r="G8" s="454"/>
      <c r="H8" s="269">
        <v>787.56</v>
      </c>
      <c r="I8" s="455"/>
      <c r="J8" s="50"/>
    </row>
    <row r="9" spans="2:10" ht="12.75">
      <c r="B9" s="16" t="s">
        <v>6</v>
      </c>
      <c r="C9" s="51">
        <v>911</v>
      </c>
      <c r="D9" s="37">
        <v>56.929</v>
      </c>
      <c r="E9" s="18"/>
      <c r="F9" s="19"/>
      <c r="G9" s="265">
        <v>260</v>
      </c>
      <c r="H9" s="269"/>
      <c r="I9" s="455"/>
      <c r="J9" s="50"/>
    </row>
    <row r="10" spans="2:10" ht="12.75">
      <c r="B10" s="16" t="s">
        <v>7</v>
      </c>
      <c r="C10" s="51">
        <v>911</v>
      </c>
      <c r="D10" s="18"/>
      <c r="E10" s="18">
        <v>1997.294</v>
      </c>
      <c r="F10" s="19"/>
      <c r="G10" s="269"/>
      <c r="H10" s="269">
        <v>2014.552</v>
      </c>
      <c r="I10" s="455"/>
      <c r="J10" s="50"/>
    </row>
    <row r="11" spans="2:10" ht="12.75">
      <c r="B11" s="16" t="s">
        <v>8</v>
      </c>
      <c r="C11" s="51">
        <v>911</v>
      </c>
      <c r="D11" s="18"/>
      <c r="E11" s="18">
        <v>264.214</v>
      </c>
      <c r="F11" s="19"/>
      <c r="G11" s="269"/>
      <c r="H11" s="269">
        <v>2.76485</v>
      </c>
      <c r="I11" s="455"/>
      <c r="J11" s="50"/>
    </row>
    <row r="12" spans="2:10" ht="12.75">
      <c r="B12" s="16" t="s">
        <v>9</v>
      </c>
      <c r="C12" s="51">
        <v>911</v>
      </c>
      <c r="D12" s="18">
        <v>1418.706</v>
      </c>
      <c r="E12" s="18"/>
      <c r="F12" s="19"/>
      <c r="G12" s="269">
        <v>920.739</v>
      </c>
      <c r="H12" s="269"/>
      <c r="I12" s="455"/>
      <c r="J12" s="50"/>
    </row>
    <row r="13" spans="2:10" ht="12.75">
      <c r="B13" s="16" t="s">
        <v>10</v>
      </c>
      <c r="C13" s="51">
        <v>911</v>
      </c>
      <c r="D13" s="17"/>
      <c r="E13" s="18"/>
      <c r="F13" s="19"/>
      <c r="G13" s="454"/>
      <c r="H13" s="269"/>
      <c r="I13" s="455"/>
      <c r="J13" s="50"/>
    </row>
    <row r="14" spans="2:10" ht="12.75">
      <c r="B14" s="16" t="s">
        <v>11</v>
      </c>
      <c r="C14" s="51">
        <v>911</v>
      </c>
      <c r="D14" s="18">
        <v>160.606</v>
      </c>
      <c r="E14" s="18"/>
      <c r="F14" s="19"/>
      <c r="G14" s="269">
        <v>160.606</v>
      </c>
      <c r="H14" s="269"/>
      <c r="I14" s="455"/>
      <c r="J14" s="50"/>
    </row>
    <row r="15" spans="2:10" ht="12.75">
      <c r="B15" s="16" t="s">
        <v>343</v>
      </c>
      <c r="C15" s="51">
        <v>911</v>
      </c>
      <c r="D15" s="18"/>
      <c r="E15" s="18">
        <v>371.696</v>
      </c>
      <c r="F15" s="19"/>
      <c r="G15" s="269"/>
      <c r="H15" s="269">
        <v>855.626</v>
      </c>
      <c r="I15" s="455"/>
      <c r="J15" s="50"/>
    </row>
    <row r="16" spans="2:10" ht="12.75">
      <c r="B16" s="20" t="s">
        <v>12</v>
      </c>
      <c r="C16" s="52">
        <v>911</v>
      </c>
      <c r="D16" s="17"/>
      <c r="E16" s="18"/>
      <c r="F16" s="19"/>
      <c r="G16" s="454"/>
      <c r="H16" s="269"/>
      <c r="I16" s="455"/>
      <c r="J16" s="50"/>
    </row>
    <row r="17" spans="2:10" ht="12.75">
      <c r="B17" s="16" t="s">
        <v>13</v>
      </c>
      <c r="C17" s="52">
        <v>911</v>
      </c>
      <c r="D17" s="18"/>
      <c r="E17" s="18">
        <v>1086.296</v>
      </c>
      <c r="F17" s="19"/>
      <c r="G17" s="269"/>
      <c r="H17" s="269">
        <v>945.738</v>
      </c>
      <c r="I17" s="455"/>
      <c r="J17" s="50"/>
    </row>
    <row r="18" spans="2:10" ht="12.75">
      <c r="B18" s="276" t="s">
        <v>344</v>
      </c>
      <c r="C18" s="52">
        <v>911</v>
      </c>
      <c r="D18" s="18"/>
      <c r="E18" s="18"/>
      <c r="F18" s="19"/>
      <c r="G18" s="269"/>
      <c r="H18" s="269"/>
      <c r="I18" s="455"/>
      <c r="J18" s="50"/>
    </row>
    <row r="19" spans="2:10" ht="12.75">
      <c r="B19" s="16" t="s">
        <v>28</v>
      </c>
      <c r="C19" s="52">
        <v>911</v>
      </c>
      <c r="D19" s="18">
        <v>267.377</v>
      </c>
      <c r="E19" s="18"/>
      <c r="F19" s="19"/>
      <c r="G19" s="269">
        <v>209.378</v>
      </c>
      <c r="H19" s="269"/>
      <c r="I19" s="455"/>
      <c r="J19" s="50"/>
    </row>
    <row r="20" spans="2:255" s="58" customFormat="1" ht="12.75">
      <c r="B20" s="53" t="s">
        <v>15</v>
      </c>
      <c r="C20" s="54">
        <v>911</v>
      </c>
      <c r="D20" s="55"/>
      <c r="E20" s="56"/>
      <c r="F20" s="57"/>
      <c r="G20" s="269"/>
      <c r="H20" s="363"/>
      <c r="I20" s="456"/>
      <c r="J20" s="5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2:10" ht="13.5" thickBot="1">
      <c r="B21" s="16" t="s">
        <v>16</v>
      </c>
      <c r="C21" s="51">
        <v>911</v>
      </c>
      <c r="D21" s="18">
        <v>90.352</v>
      </c>
      <c r="E21" s="21"/>
      <c r="F21" s="22"/>
      <c r="G21" s="269">
        <v>90.352</v>
      </c>
      <c r="H21" s="363"/>
      <c r="I21" s="456"/>
      <c r="J21" s="50"/>
    </row>
    <row r="22" spans="2:10" ht="16.5" customHeight="1" thickBot="1">
      <c r="B22" s="23" t="s">
        <v>23</v>
      </c>
      <c r="C22" s="32">
        <v>911</v>
      </c>
      <c r="D22" s="59">
        <f aca="true" t="shared" si="0" ref="D22:I22">SUM(D7:D21)</f>
        <v>2537.97</v>
      </c>
      <c r="E22" s="59">
        <f t="shared" si="0"/>
        <v>3879.187</v>
      </c>
      <c r="F22" s="25">
        <f t="shared" si="0"/>
        <v>0</v>
      </c>
      <c r="G22" s="457">
        <f t="shared" si="0"/>
        <v>2185.075</v>
      </c>
      <c r="H22" s="457">
        <f t="shared" si="0"/>
        <v>4606.24085</v>
      </c>
      <c r="I22" s="371">
        <f t="shared" si="0"/>
        <v>0</v>
      </c>
      <c r="J22" s="50"/>
    </row>
    <row r="23" ht="13.5" thickBot="1">
      <c r="J23" s="50"/>
    </row>
    <row r="24" spans="2:10" ht="13.5" thickBot="1">
      <c r="B24" s="40"/>
      <c r="C24" s="41"/>
      <c r="D24" s="42"/>
      <c r="E24" s="43" t="s">
        <v>337</v>
      </c>
      <c r="F24" s="44"/>
      <c r="G24" s="447"/>
      <c r="H24" s="448" t="s">
        <v>400</v>
      </c>
      <c r="I24" s="449"/>
      <c r="J24" s="50"/>
    </row>
    <row r="25" spans="2:10" ht="27" customHeight="1" thickBot="1">
      <c r="B25" s="45" t="s">
        <v>29</v>
      </c>
      <c r="C25" s="46" t="s">
        <v>25</v>
      </c>
      <c r="D25" s="5" t="s">
        <v>26</v>
      </c>
      <c r="E25" s="5" t="s">
        <v>27</v>
      </c>
      <c r="F25" s="450" t="s">
        <v>404</v>
      </c>
      <c r="G25" s="450" t="s">
        <v>26</v>
      </c>
      <c r="H25" s="450" t="s">
        <v>27</v>
      </c>
      <c r="I25" s="450" t="s">
        <v>404</v>
      </c>
      <c r="J25" s="50"/>
    </row>
    <row r="26" spans="2:10" ht="13.5" thickBot="1">
      <c r="B26" s="47"/>
      <c r="C26" s="48"/>
      <c r="D26" s="10">
        <v>241</v>
      </c>
      <c r="E26" s="10">
        <v>245</v>
      </c>
      <c r="F26" s="10">
        <v>243</v>
      </c>
      <c r="G26" s="373">
        <v>241</v>
      </c>
      <c r="H26" s="373">
        <v>245</v>
      </c>
      <c r="I26" s="373">
        <v>243</v>
      </c>
      <c r="J26" s="50"/>
    </row>
    <row r="27" spans="2:10" ht="12.75">
      <c r="B27" s="12" t="s">
        <v>4</v>
      </c>
      <c r="C27" s="60">
        <v>912</v>
      </c>
      <c r="D27" s="13"/>
      <c r="E27" s="13"/>
      <c r="F27" s="14">
        <v>81.372</v>
      </c>
      <c r="G27" s="374"/>
      <c r="H27" s="374"/>
      <c r="I27" s="453">
        <v>93.953</v>
      </c>
      <c r="J27" s="50"/>
    </row>
    <row r="28" spans="2:10" ht="12.75">
      <c r="B28" s="16" t="s">
        <v>5</v>
      </c>
      <c r="C28" s="61">
        <v>912</v>
      </c>
      <c r="D28" s="18"/>
      <c r="E28" s="18"/>
      <c r="F28" s="19">
        <v>900.547</v>
      </c>
      <c r="G28" s="269"/>
      <c r="H28" s="269"/>
      <c r="I28" s="455">
        <v>833.139</v>
      </c>
      <c r="J28" s="50"/>
    </row>
    <row r="29" spans="2:10" ht="12.75">
      <c r="B29" s="16" t="s">
        <v>6</v>
      </c>
      <c r="C29" s="61">
        <v>912</v>
      </c>
      <c r="D29" s="18"/>
      <c r="E29" s="18"/>
      <c r="F29" s="19">
        <v>87.385</v>
      </c>
      <c r="G29" s="269"/>
      <c r="H29" s="269"/>
      <c r="I29" s="455">
        <v>87</v>
      </c>
      <c r="J29" s="50"/>
    </row>
    <row r="30" spans="2:10" ht="12.75">
      <c r="B30" s="16" t="s">
        <v>7</v>
      </c>
      <c r="C30" s="61">
        <v>912</v>
      </c>
      <c r="D30" s="18"/>
      <c r="E30" s="18"/>
      <c r="F30" s="28">
        <v>441.891</v>
      </c>
      <c r="G30" s="269"/>
      <c r="H30" s="269"/>
      <c r="I30" s="458">
        <v>512.71</v>
      </c>
      <c r="J30" s="50"/>
    </row>
    <row r="31" spans="2:10" ht="12.75">
      <c r="B31" s="16" t="s">
        <v>8</v>
      </c>
      <c r="C31" s="61">
        <v>912</v>
      </c>
      <c r="D31" s="18"/>
      <c r="E31" s="18"/>
      <c r="F31" s="19">
        <v>700.509</v>
      </c>
      <c r="G31" s="269"/>
      <c r="H31" s="269"/>
      <c r="I31" s="455">
        <v>740.056</v>
      </c>
      <c r="J31" s="50"/>
    </row>
    <row r="32" spans="2:10" ht="12.75">
      <c r="B32" s="16" t="s">
        <v>9</v>
      </c>
      <c r="C32" s="61">
        <v>912</v>
      </c>
      <c r="D32" s="18"/>
      <c r="E32" s="18"/>
      <c r="F32" s="19">
        <v>475.235</v>
      </c>
      <c r="G32" s="269"/>
      <c r="H32" s="269"/>
      <c r="I32" s="455">
        <v>193.114</v>
      </c>
      <c r="J32" s="50"/>
    </row>
    <row r="33" spans="2:10" ht="12.75">
      <c r="B33" s="16" t="s">
        <v>10</v>
      </c>
      <c r="C33" s="61">
        <v>912</v>
      </c>
      <c r="D33" s="18"/>
      <c r="E33" s="18"/>
      <c r="F33" s="19">
        <v>42.686</v>
      </c>
      <c r="G33" s="269"/>
      <c r="H33" s="269"/>
      <c r="I33" s="455">
        <v>48.617</v>
      </c>
      <c r="J33" s="50"/>
    </row>
    <row r="34" spans="2:10" ht="12.75">
      <c r="B34" s="16" t="s">
        <v>11</v>
      </c>
      <c r="C34" s="61">
        <v>912</v>
      </c>
      <c r="D34" s="18"/>
      <c r="E34" s="18"/>
      <c r="F34" s="19">
        <v>316.043</v>
      </c>
      <c r="G34" s="269"/>
      <c r="H34" s="269"/>
      <c r="I34" s="455">
        <v>279.517</v>
      </c>
      <c r="J34" s="50"/>
    </row>
    <row r="35" spans="2:10" ht="12.75">
      <c r="B35" s="16" t="s">
        <v>343</v>
      </c>
      <c r="C35" s="61">
        <v>912</v>
      </c>
      <c r="D35" s="18"/>
      <c r="E35" s="18"/>
      <c r="F35" s="19">
        <v>72.018</v>
      </c>
      <c r="G35" s="269"/>
      <c r="H35" s="269"/>
      <c r="I35" s="455">
        <v>321.809</v>
      </c>
      <c r="J35" s="50"/>
    </row>
    <row r="36" spans="2:10" ht="12.75">
      <c r="B36" s="20" t="s">
        <v>12</v>
      </c>
      <c r="C36" s="62">
        <v>912</v>
      </c>
      <c r="D36" s="18"/>
      <c r="E36" s="18"/>
      <c r="F36" s="19"/>
      <c r="G36" s="269"/>
      <c r="H36" s="269"/>
      <c r="I36" s="455"/>
      <c r="J36" s="50"/>
    </row>
    <row r="37" spans="2:10" ht="12.75">
      <c r="B37" s="16" t="s">
        <v>13</v>
      </c>
      <c r="C37" s="61">
        <v>912</v>
      </c>
      <c r="D37" s="18"/>
      <c r="E37" s="18"/>
      <c r="F37" s="19">
        <v>316.784</v>
      </c>
      <c r="G37" s="269"/>
      <c r="H37" s="269"/>
      <c r="I37" s="455">
        <v>139.777</v>
      </c>
      <c r="J37" s="50"/>
    </row>
    <row r="38" spans="2:10" ht="12.75">
      <c r="B38" s="276" t="s">
        <v>344</v>
      </c>
      <c r="C38" s="61">
        <v>912</v>
      </c>
      <c r="D38" s="18"/>
      <c r="E38" s="18"/>
      <c r="F38" s="19">
        <v>165.811</v>
      </c>
      <c r="G38" s="269"/>
      <c r="H38" s="269"/>
      <c r="I38" s="455">
        <v>283.794</v>
      </c>
      <c r="J38" s="50"/>
    </row>
    <row r="39" spans="2:10" ht="12.75">
      <c r="B39" s="16" t="s">
        <v>28</v>
      </c>
      <c r="C39" s="61">
        <v>912</v>
      </c>
      <c r="D39" s="18"/>
      <c r="E39" s="18"/>
      <c r="F39" s="19">
        <v>34.785</v>
      </c>
      <c r="G39" s="269"/>
      <c r="H39" s="269"/>
      <c r="I39" s="455">
        <v>41.055</v>
      </c>
      <c r="J39" s="50"/>
    </row>
    <row r="40" spans="2:255" s="58" customFormat="1" ht="12.75">
      <c r="B40" s="53" t="s">
        <v>15</v>
      </c>
      <c r="C40" s="63">
        <v>912</v>
      </c>
      <c r="D40" s="56"/>
      <c r="E40" s="56"/>
      <c r="F40" s="57">
        <v>18.025</v>
      </c>
      <c r="G40" s="363"/>
      <c r="H40" s="363"/>
      <c r="I40" s="456">
        <v>19.985</v>
      </c>
      <c r="J40" s="5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2:10" ht="13.5" thickBot="1">
      <c r="B41" s="16" t="s">
        <v>16</v>
      </c>
      <c r="C41" s="61">
        <v>912</v>
      </c>
      <c r="D41" s="21"/>
      <c r="E41" s="21"/>
      <c r="F41" s="22">
        <v>66.254</v>
      </c>
      <c r="G41" s="363"/>
      <c r="H41" s="363"/>
      <c r="I41" s="456">
        <v>62.561</v>
      </c>
      <c r="J41" s="50"/>
    </row>
    <row r="42" spans="2:10" ht="13.5" thickBot="1">
      <c r="B42" s="23" t="s">
        <v>23</v>
      </c>
      <c r="C42" s="32">
        <v>912</v>
      </c>
      <c r="D42" s="59">
        <f aca="true" t="shared" si="1" ref="D42:I42">SUM(D27:D41)</f>
        <v>0</v>
      </c>
      <c r="E42" s="59">
        <f t="shared" si="1"/>
        <v>0</v>
      </c>
      <c r="F42" s="25">
        <f t="shared" si="1"/>
        <v>3719.3450000000007</v>
      </c>
      <c r="G42" s="457">
        <f t="shared" si="1"/>
        <v>0</v>
      </c>
      <c r="H42" s="457">
        <f t="shared" si="1"/>
        <v>0</v>
      </c>
      <c r="I42" s="371">
        <f t="shared" si="1"/>
        <v>3657.0870000000004</v>
      </c>
      <c r="J42" s="50"/>
    </row>
    <row r="43" ht="13.5" thickBot="1">
      <c r="J43" s="50"/>
    </row>
    <row r="44" spans="2:10" ht="13.5" thickBot="1">
      <c r="B44" s="40"/>
      <c r="C44" s="41"/>
      <c r="D44" s="42"/>
      <c r="E44" s="43" t="s">
        <v>337</v>
      </c>
      <c r="F44" s="44"/>
      <c r="G44" s="447"/>
      <c r="H44" s="448" t="s">
        <v>400</v>
      </c>
      <c r="I44" s="449"/>
      <c r="J44" s="50"/>
    </row>
    <row r="45" spans="2:10" ht="27" customHeight="1" thickBot="1">
      <c r="B45" s="45" t="s">
        <v>18</v>
      </c>
      <c r="C45" s="46" t="s">
        <v>25</v>
      </c>
      <c r="D45" s="5" t="s">
        <v>26</v>
      </c>
      <c r="E45" s="5" t="s">
        <v>27</v>
      </c>
      <c r="F45" s="450" t="s">
        <v>404</v>
      </c>
      <c r="G45" s="450" t="s">
        <v>26</v>
      </c>
      <c r="H45" s="450" t="s">
        <v>27</v>
      </c>
      <c r="I45" s="450" t="s">
        <v>404</v>
      </c>
      <c r="J45" s="50"/>
    </row>
    <row r="46" spans="2:10" ht="13.5" thickBot="1">
      <c r="B46" s="47"/>
      <c r="C46" s="48"/>
      <c r="D46" s="32">
        <v>241</v>
      </c>
      <c r="E46" s="10">
        <v>245</v>
      </c>
      <c r="F46" s="10">
        <v>243</v>
      </c>
      <c r="G46" s="451">
        <v>241</v>
      </c>
      <c r="H46" s="373">
        <v>245</v>
      </c>
      <c r="I46" s="373">
        <v>243</v>
      </c>
      <c r="J46" s="50"/>
    </row>
    <row r="47" spans="2:10" ht="12.75">
      <c r="B47" s="12" t="s">
        <v>4</v>
      </c>
      <c r="C47" s="60">
        <v>914</v>
      </c>
      <c r="D47" s="442">
        <v>2127.089</v>
      </c>
      <c r="E47" s="13"/>
      <c r="F47" s="14"/>
      <c r="G47" s="452">
        <v>48484.383</v>
      </c>
      <c r="H47" s="374"/>
      <c r="I47" s="453"/>
      <c r="J47" s="50"/>
    </row>
    <row r="48" spans="2:10" ht="12.75">
      <c r="B48" s="16" t="s">
        <v>5</v>
      </c>
      <c r="C48" s="61">
        <v>914</v>
      </c>
      <c r="D48" s="17"/>
      <c r="E48" s="18">
        <v>1114.94</v>
      </c>
      <c r="F48" s="19"/>
      <c r="G48" s="454"/>
      <c r="H48" s="269">
        <v>533.94</v>
      </c>
      <c r="I48" s="455"/>
      <c r="J48" s="50"/>
    </row>
    <row r="49" spans="2:10" ht="12.75">
      <c r="B49" s="16" t="s">
        <v>6</v>
      </c>
      <c r="C49" s="61">
        <v>914</v>
      </c>
      <c r="D49" s="18">
        <v>31.943</v>
      </c>
      <c r="E49" s="18"/>
      <c r="F49" s="19"/>
      <c r="G49" s="269">
        <v>563</v>
      </c>
      <c r="H49" s="269"/>
      <c r="I49" s="455"/>
      <c r="J49" s="50"/>
    </row>
    <row r="50" spans="2:10" ht="12.75">
      <c r="B50" s="16" t="s">
        <v>7</v>
      </c>
      <c r="C50" s="61">
        <v>914</v>
      </c>
      <c r="D50" s="18"/>
      <c r="E50" s="18">
        <v>7234.738</v>
      </c>
      <c r="F50" s="19"/>
      <c r="G50" s="269"/>
      <c r="H50" s="269">
        <v>8373.457</v>
      </c>
      <c r="I50" s="455"/>
      <c r="J50" s="50"/>
    </row>
    <row r="51" spans="2:10" ht="12.75">
      <c r="B51" s="16" t="s">
        <v>8</v>
      </c>
      <c r="C51" s="61">
        <v>914</v>
      </c>
      <c r="D51" s="18"/>
      <c r="E51" s="18">
        <v>3527.138</v>
      </c>
      <c r="F51" s="19"/>
      <c r="G51" s="269">
        <v>100335.855</v>
      </c>
      <c r="H51" s="269">
        <v>226.148</v>
      </c>
      <c r="I51" s="455"/>
      <c r="J51" s="50"/>
    </row>
    <row r="52" spans="2:10" ht="12.75">
      <c r="B52" s="16" t="s">
        <v>9</v>
      </c>
      <c r="C52" s="61">
        <v>914</v>
      </c>
      <c r="D52" s="18">
        <v>2250.243</v>
      </c>
      <c r="E52" s="18"/>
      <c r="F52" s="19"/>
      <c r="G52" s="269">
        <v>2278.696</v>
      </c>
      <c r="H52" s="269"/>
      <c r="I52" s="455"/>
      <c r="J52" s="50"/>
    </row>
    <row r="53" spans="2:10" ht="12.75">
      <c r="B53" s="16" t="s">
        <v>10</v>
      </c>
      <c r="C53" s="61">
        <v>914</v>
      </c>
      <c r="D53" s="18">
        <v>149.626</v>
      </c>
      <c r="E53" s="18"/>
      <c r="F53" s="19"/>
      <c r="G53" s="269">
        <v>172.531</v>
      </c>
      <c r="H53" s="269"/>
      <c r="I53" s="455"/>
      <c r="J53" s="50"/>
    </row>
    <row r="54" spans="2:10" ht="12.75">
      <c r="B54" s="16" t="s">
        <v>11</v>
      </c>
      <c r="C54" s="61">
        <v>914</v>
      </c>
      <c r="D54" s="18">
        <v>107481.764</v>
      </c>
      <c r="E54" s="18"/>
      <c r="F54" s="19"/>
      <c r="G54" s="269">
        <v>111769.51</v>
      </c>
      <c r="H54" s="269"/>
      <c r="I54" s="455"/>
      <c r="J54" s="50"/>
    </row>
    <row r="55" spans="2:10" ht="12.75">
      <c r="B55" s="16" t="s">
        <v>343</v>
      </c>
      <c r="C55" s="61">
        <v>914</v>
      </c>
      <c r="D55" s="18"/>
      <c r="E55" s="18">
        <v>141.262</v>
      </c>
      <c r="F55" s="19"/>
      <c r="G55" s="269"/>
      <c r="H55" s="269">
        <v>3641.263</v>
      </c>
      <c r="I55" s="455"/>
      <c r="J55" s="50"/>
    </row>
    <row r="56" spans="2:10" ht="12.75">
      <c r="B56" s="20" t="s">
        <v>12</v>
      </c>
      <c r="C56" s="62">
        <v>914</v>
      </c>
      <c r="D56" s="18">
        <v>333.465</v>
      </c>
      <c r="E56" s="18"/>
      <c r="F56" s="19"/>
      <c r="G56" s="269">
        <v>352.692</v>
      </c>
      <c r="H56" s="269"/>
      <c r="I56" s="455"/>
      <c r="J56" s="50"/>
    </row>
    <row r="57" spans="2:10" ht="12.75">
      <c r="B57" s="16" t="s">
        <v>13</v>
      </c>
      <c r="C57" s="61">
        <v>914</v>
      </c>
      <c r="D57" s="18"/>
      <c r="E57" s="18">
        <v>11913.046</v>
      </c>
      <c r="F57" s="19"/>
      <c r="G57" s="269"/>
      <c r="H57" s="269">
        <v>5264.614</v>
      </c>
      <c r="I57" s="455"/>
      <c r="J57" s="50"/>
    </row>
    <row r="58" spans="2:10" ht="12.75">
      <c r="B58" s="276" t="s">
        <v>344</v>
      </c>
      <c r="C58" s="61">
        <v>914</v>
      </c>
      <c r="D58" s="18"/>
      <c r="E58" s="21"/>
      <c r="F58" s="22"/>
      <c r="G58" s="269">
        <v>73656.421</v>
      </c>
      <c r="H58" s="363"/>
      <c r="I58" s="456"/>
      <c r="J58" s="50"/>
    </row>
    <row r="59" spans="2:10" ht="12.75">
      <c r="B59" s="16" t="s">
        <v>28</v>
      </c>
      <c r="C59" s="61">
        <v>914</v>
      </c>
      <c r="D59" s="18">
        <v>821.699</v>
      </c>
      <c r="E59" s="21"/>
      <c r="F59" s="22"/>
      <c r="G59" s="269">
        <v>1211.144</v>
      </c>
      <c r="H59" s="363"/>
      <c r="I59" s="456"/>
      <c r="J59" s="50"/>
    </row>
    <row r="60" spans="2:255" s="58" customFormat="1" ht="12.75">
      <c r="B60" s="53" t="s">
        <v>15</v>
      </c>
      <c r="C60" s="64">
        <v>914</v>
      </c>
      <c r="D60" s="55"/>
      <c r="E60" s="56"/>
      <c r="F60" s="57"/>
      <c r="G60" s="269"/>
      <c r="H60" s="363"/>
      <c r="I60" s="456"/>
      <c r="J60" s="50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2:10" ht="13.5" thickBot="1">
      <c r="B61" s="16" t="s">
        <v>16</v>
      </c>
      <c r="C61" s="61">
        <v>914</v>
      </c>
      <c r="D61" s="18">
        <v>23.197</v>
      </c>
      <c r="E61" s="21"/>
      <c r="F61" s="22"/>
      <c r="G61" s="269">
        <v>23.197</v>
      </c>
      <c r="H61" s="363"/>
      <c r="I61" s="456"/>
      <c r="J61" s="50"/>
    </row>
    <row r="62" spans="2:10" ht="13.5" thickBot="1">
      <c r="B62" s="23" t="s">
        <v>23</v>
      </c>
      <c r="C62" s="32">
        <v>914</v>
      </c>
      <c r="D62" s="59">
        <f aca="true" t="shared" si="2" ref="D62:I62">SUM(D47:D61)</f>
        <v>113219.02599999998</v>
      </c>
      <c r="E62" s="59">
        <f t="shared" si="2"/>
        <v>23931.124</v>
      </c>
      <c r="F62" s="25">
        <f t="shared" si="2"/>
        <v>0</v>
      </c>
      <c r="G62" s="457">
        <f t="shared" si="2"/>
        <v>338847.42899999995</v>
      </c>
      <c r="H62" s="457">
        <f t="shared" si="2"/>
        <v>18039.422</v>
      </c>
      <c r="I62" s="371">
        <f t="shared" si="2"/>
        <v>0</v>
      </c>
      <c r="J62" s="50"/>
    </row>
    <row r="63" ht="13.5" thickBot="1">
      <c r="J63" s="50"/>
    </row>
    <row r="64" spans="2:10" ht="13.5" thickBot="1">
      <c r="B64" s="40"/>
      <c r="C64" s="41"/>
      <c r="D64" s="42"/>
      <c r="E64" s="43" t="s">
        <v>337</v>
      </c>
      <c r="F64" s="44"/>
      <c r="G64" s="447"/>
      <c r="H64" s="448" t="s">
        <v>400</v>
      </c>
      <c r="I64" s="449"/>
      <c r="J64" s="50"/>
    </row>
    <row r="65" spans="2:10" ht="27" customHeight="1" thickBot="1">
      <c r="B65" s="45" t="s">
        <v>30</v>
      </c>
      <c r="C65" s="46" t="s">
        <v>25</v>
      </c>
      <c r="D65" s="5" t="s">
        <v>26</v>
      </c>
      <c r="E65" s="5" t="s">
        <v>27</v>
      </c>
      <c r="F65" s="450" t="s">
        <v>404</v>
      </c>
      <c r="G65" s="450" t="s">
        <v>26</v>
      </c>
      <c r="H65" s="450" t="s">
        <v>27</v>
      </c>
      <c r="I65" s="450" t="s">
        <v>404</v>
      </c>
      <c r="J65" s="50"/>
    </row>
    <row r="66" spans="2:10" ht="13.5" thickBot="1">
      <c r="B66" s="47"/>
      <c r="C66" s="48"/>
      <c r="D66" s="10">
        <v>241</v>
      </c>
      <c r="E66" s="10">
        <v>245</v>
      </c>
      <c r="F66" s="10">
        <v>243</v>
      </c>
      <c r="G66" s="373">
        <v>241</v>
      </c>
      <c r="H66" s="373">
        <v>245</v>
      </c>
      <c r="I66" s="373">
        <v>243</v>
      </c>
      <c r="J66" s="50"/>
    </row>
    <row r="67" spans="2:10" ht="12.75">
      <c r="B67" s="12" t="s">
        <v>4</v>
      </c>
      <c r="C67" s="60">
        <v>916</v>
      </c>
      <c r="D67" s="13">
        <v>3003.552</v>
      </c>
      <c r="E67" s="13"/>
      <c r="F67" s="14"/>
      <c r="G67" s="374">
        <v>2912.663</v>
      </c>
      <c r="H67" s="374"/>
      <c r="I67" s="453"/>
      <c r="J67" s="50"/>
    </row>
    <row r="68" spans="2:10" ht="12.75">
      <c r="B68" s="16" t="s">
        <v>5</v>
      </c>
      <c r="C68" s="61">
        <v>916</v>
      </c>
      <c r="D68" s="18"/>
      <c r="E68" s="18">
        <v>7567.353</v>
      </c>
      <c r="F68" s="19"/>
      <c r="G68" s="269"/>
      <c r="H68" s="269">
        <v>6533.087</v>
      </c>
      <c r="I68" s="455"/>
      <c r="J68" s="50"/>
    </row>
    <row r="69" spans="2:10" ht="12.75">
      <c r="B69" s="16" t="s">
        <v>6</v>
      </c>
      <c r="C69" s="61">
        <v>916</v>
      </c>
      <c r="D69" s="18">
        <v>7399.624</v>
      </c>
      <c r="E69" s="18"/>
      <c r="F69" s="19"/>
      <c r="G69" s="269">
        <v>9327</v>
      </c>
      <c r="H69" s="269"/>
      <c r="I69" s="455"/>
      <c r="J69" s="50"/>
    </row>
    <row r="70" spans="2:10" ht="12.75">
      <c r="B70" s="16" t="s">
        <v>7</v>
      </c>
      <c r="C70" s="61">
        <v>916</v>
      </c>
      <c r="D70" s="18"/>
      <c r="E70" s="18">
        <v>10778.237</v>
      </c>
      <c r="F70" s="19"/>
      <c r="G70" s="269"/>
      <c r="H70" s="269">
        <v>8083.253</v>
      </c>
      <c r="I70" s="455"/>
      <c r="J70" s="50"/>
    </row>
    <row r="71" spans="2:10" ht="12.75">
      <c r="B71" s="16" t="s">
        <v>8</v>
      </c>
      <c r="C71" s="61">
        <v>916</v>
      </c>
      <c r="D71" s="18"/>
      <c r="E71" s="18">
        <v>1229.549</v>
      </c>
      <c r="F71" s="19"/>
      <c r="G71" s="269"/>
      <c r="H71" s="269">
        <v>87.559</v>
      </c>
      <c r="I71" s="455"/>
      <c r="J71" s="50"/>
    </row>
    <row r="72" spans="2:10" ht="12.75">
      <c r="B72" s="16" t="s">
        <v>9</v>
      </c>
      <c r="C72" s="61">
        <v>916</v>
      </c>
      <c r="D72" s="18">
        <v>4700.444</v>
      </c>
      <c r="E72" s="18"/>
      <c r="F72" s="19"/>
      <c r="G72" s="269">
        <v>2018.109</v>
      </c>
      <c r="H72" s="269"/>
      <c r="I72" s="455"/>
      <c r="J72" s="50"/>
    </row>
    <row r="73" spans="2:10" ht="12.75">
      <c r="B73" s="16" t="s">
        <v>10</v>
      </c>
      <c r="C73" s="61">
        <v>916</v>
      </c>
      <c r="D73" s="18">
        <v>213.434</v>
      </c>
      <c r="E73" s="18"/>
      <c r="F73" s="19"/>
      <c r="G73" s="269">
        <v>532.071</v>
      </c>
      <c r="H73" s="269"/>
      <c r="I73" s="455"/>
      <c r="J73" s="50"/>
    </row>
    <row r="74" spans="2:10" ht="12.75">
      <c r="B74" s="16" t="s">
        <v>11</v>
      </c>
      <c r="C74" s="61">
        <v>916</v>
      </c>
      <c r="D74" s="18">
        <v>3165.748</v>
      </c>
      <c r="E74" s="18"/>
      <c r="F74" s="19"/>
      <c r="G74" s="269">
        <v>2797.65</v>
      </c>
      <c r="H74" s="269"/>
      <c r="I74" s="455"/>
      <c r="J74" s="50"/>
    </row>
    <row r="75" spans="2:10" ht="12.75">
      <c r="B75" s="16" t="s">
        <v>343</v>
      </c>
      <c r="C75" s="61">
        <v>916</v>
      </c>
      <c r="D75" s="18"/>
      <c r="E75" s="18">
        <v>5868.046</v>
      </c>
      <c r="F75" s="19"/>
      <c r="G75" s="269"/>
      <c r="H75" s="269">
        <v>4427.174</v>
      </c>
      <c r="I75" s="455"/>
      <c r="J75" s="50"/>
    </row>
    <row r="76" spans="2:10" ht="12.75">
      <c r="B76" s="20" t="s">
        <v>12</v>
      </c>
      <c r="C76" s="62">
        <v>916</v>
      </c>
      <c r="D76" s="18">
        <v>454.604</v>
      </c>
      <c r="E76" s="18"/>
      <c r="F76" s="19"/>
      <c r="G76" s="269">
        <v>454.604</v>
      </c>
      <c r="H76" s="269"/>
      <c r="I76" s="455"/>
      <c r="J76" s="50"/>
    </row>
    <row r="77" spans="2:10" ht="12.75">
      <c r="B77" s="16" t="s">
        <v>13</v>
      </c>
      <c r="C77" s="61">
        <v>916</v>
      </c>
      <c r="D77" s="18"/>
      <c r="E77" s="18">
        <v>21776</v>
      </c>
      <c r="F77" s="19"/>
      <c r="G77" s="269"/>
      <c r="H77" s="269">
        <v>19186.223</v>
      </c>
      <c r="I77" s="455"/>
      <c r="J77" s="50"/>
    </row>
    <row r="78" spans="2:10" ht="12.75">
      <c r="B78" s="276" t="s">
        <v>344</v>
      </c>
      <c r="C78" s="61">
        <v>916</v>
      </c>
      <c r="D78" s="18"/>
      <c r="E78" s="18"/>
      <c r="F78" s="19"/>
      <c r="G78" s="269">
        <v>5818.581</v>
      </c>
      <c r="H78" s="269"/>
      <c r="I78" s="455"/>
      <c r="J78" s="50"/>
    </row>
    <row r="79" spans="2:10" ht="12.75">
      <c r="B79" s="16" t="s">
        <v>28</v>
      </c>
      <c r="C79" s="61">
        <v>916</v>
      </c>
      <c r="D79" s="18">
        <v>1139.628</v>
      </c>
      <c r="E79" s="18"/>
      <c r="F79" s="19"/>
      <c r="G79" s="269">
        <v>1304.897</v>
      </c>
      <c r="H79" s="269"/>
      <c r="I79" s="455"/>
      <c r="J79" s="50"/>
    </row>
    <row r="80" spans="2:255" s="58" customFormat="1" ht="12.75">
      <c r="B80" s="53" t="s">
        <v>15</v>
      </c>
      <c r="C80" s="63">
        <v>916</v>
      </c>
      <c r="D80" s="55">
        <v>1482.901</v>
      </c>
      <c r="E80" s="56"/>
      <c r="F80" s="57"/>
      <c r="G80" s="269">
        <v>1148.496</v>
      </c>
      <c r="H80" s="363"/>
      <c r="I80" s="456"/>
      <c r="J80" s="50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2:10" ht="13.5" thickBot="1">
      <c r="B81" s="16" t="s">
        <v>16</v>
      </c>
      <c r="C81" s="61">
        <v>916</v>
      </c>
      <c r="D81" s="269">
        <v>65.32</v>
      </c>
      <c r="E81" s="21"/>
      <c r="F81" s="22"/>
      <c r="G81" s="269">
        <v>65.32</v>
      </c>
      <c r="H81" s="363"/>
      <c r="I81" s="456"/>
      <c r="J81" s="50"/>
    </row>
    <row r="82" spans="2:10" ht="13.5" thickBot="1">
      <c r="B82" s="23" t="s">
        <v>23</v>
      </c>
      <c r="C82" s="32">
        <v>916</v>
      </c>
      <c r="D82" s="59">
        <f aca="true" t="shared" si="3" ref="D82:I82">SUM(D67:D81)</f>
        <v>21625.255</v>
      </c>
      <c r="E82" s="59">
        <f t="shared" si="3"/>
        <v>47219.185</v>
      </c>
      <c r="F82" s="25">
        <f t="shared" si="3"/>
        <v>0</v>
      </c>
      <c r="G82" s="457">
        <f t="shared" si="3"/>
        <v>26379.391</v>
      </c>
      <c r="H82" s="457">
        <f t="shared" si="3"/>
        <v>38317.296</v>
      </c>
      <c r="I82" s="371">
        <f t="shared" si="3"/>
        <v>0</v>
      </c>
      <c r="J82" s="50"/>
    </row>
    <row r="83" ht="13.5" thickBot="1">
      <c r="J83" s="50"/>
    </row>
    <row r="84" spans="2:10" ht="13.5" thickBot="1">
      <c r="B84" s="40"/>
      <c r="C84" s="41"/>
      <c r="D84" s="42"/>
      <c r="E84" s="43" t="s">
        <v>337</v>
      </c>
      <c r="F84" s="44"/>
      <c r="G84" s="447"/>
      <c r="H84" s="448" t="s">
        <v>400</v>
      </c>
      <c r="I84" s="449"/>
      <c r="J84" s="50"/>
    </row>
    <row r="85" spans="2:10" ht="27" customHeight="1" thickBot="1">
      <c r="B85" s="45" t="s">
        <v>31</v>
      </c>
      <c r="C85" s="46" t="s">
        <v>25</v>
      </c>
      <c r="D85" s="5" t="s">
        <v>26</v>
      </c>
      <c r="E85" s="5" t="s">
        <v>27</v>
      </c>
      <c r="F85" s="450" t="s">
        <v>404</v>
      </c>
      <c r="G85" s="450" t="s">
        <v>26</v>
      </c>
      <c r="H85" s="450" t="s">
        <v>27</v>
      </c>
      <c r="I85" s="450" t="s">
        <v>404</v>
      </c>
      <c r="J85" s="50"/>
    </row>
    <row r="86" spans="2:10" ht="13.5" thickBot="1">
      <c r="B86" s="65"/>
      <c r="C86" s="44"/>
      <c r="D86" s="10">
        <v>241</v>
      </c>
      <c r="E86" s="10">
        <v>245</v>
      </c>
      <c r="F86" s="10">
        <v>243</v>
      </c>
      <c r="G86" s="373">
        <v>241</v>
      </c>
      <c r="H86" s="373">
        <v>245</v>
      </c>
      <c r="I86" s="373">
        <v>243</v>
      </c>
      <c r="J86" s="50"/>
    </row>
    <row r="87" spans="2:10" ht="12.75">
      <c r="B87" s="66" t="s">
        <v>4</v>
      </c>
      <c r="C87" s="67"/>
      <c r="D87" s="68">
        <f aca="true" t="shared" si="4" ref="D87:I101">D7+D27+D47+D67</f>
        <v>5674.641</v>
      </c>
      <c r="E87" s="69">
        <f t="shared" si="4"/>
        <v>0</v>
      </c>
      <c r="F87" s="70">
        <f t="shared" si="4"/>
        <v>81.372</v>
      </c>
      <c r="G87" s="459">
        <f t="shared" si="4"/>
        <v>51941.046</v>
      </c>
      <c r="H87" s="460">
        <f t="shared" si="4"/>
        <v>0</v>
      </c>
      <c r="I87" s="461">
        <f t="shared" si="4"/>
        <v>93.953</v>
      </c>
      <c r="J87" s="50"/>
    </row>
    <row r="88" spans="2:10" ht="12.75">
      <c r="B88" s="71" t="s">
        <v>5</v>
      </c>
      <c r="C88" s="72"/>
      <c r="D88" s="73">
        <f t="shared" si="4"/>
        <v>0</v>
      </c>
      <c r="E88" s="74">
        <f t="shared" si="4"/>
        <v>8841.98</v>
      </c>
      <c r="F88" s="75">
        <f t="shared" si="4"/>
        <v>900.547</v>
      </c>
      <c r="G88" s="462">
        <f t="shared" si="4"/>
        <v>0</v>
      </c>
      <c r="H88" s="463">
        <f t="shared" si="4"/>
        <v>7854.587</v>
      </c>
      <c r="I88" s="464">
        <f t="shared" si="4"/>
        <v>833.139</v>
      </c>
      <c r="J88" s="50"/>
    </row>
    <row r="89" spans="2:10" ht="12.75">
      <c r="B89" s="71" t="s">
        <v>6</v>
      </c>
      <c r="C89" s="72"/>
      <c r="D89" s="74">
        <f t="shared" si="4"/>
        <v>7488.496</v>
      </c>
      <c r="E89" s="73">
        <f t="shared" si="4"/>
        <v>0</v>
      </c>
      <c r="F89" s="75">
        <f t="shared" si="4"/>
        <v>87.385</v>
      </c>
      <c r="G89" s="463">
        <f t="shared" si="4"/>
        <v>10150</v>
      </c>
      <c r="H89" s="462">
        <f t="shared" si="4"/>
        <v>0</v>
      </c>
      <c r="I89" s="464">
        <f t="shared" si="4"/>
        <v>87</v>
      </c>
      <c r="J89" s="50"/>
    </row>
    <row r="90" spans="2:10" ht="12.75">
      <c r="B90" s="71" t="s">
        <v>7</v>
      </c>
      <c r="C90" s="72"/>
      <c r="D90" s="74">
        <f t="shared" si="4"/>
        <v>0</v>
      </c>
      <c r="E90" s="74">
        <f t="shared" si="4"/>
        <v>20010.269</v>
      </c>
      <c r="F90" s="75">
        <f t="shared" si="4"/>
        <v>441.891</v>
      </c>
      <c r="G90" s="463">
        <f t="shared" si="4"/>
        <v>0</v>
      </c>
      <c r="H90" s="463">
        <f t="shared" si="4"/>
        <v>18471.262</v>
      </c>
      <c r="I90" s="464">
        <f t="shared" si="4"/>
        <v>512.71</v>
      </c>
      <c r="J90" s="50"/>
    </row>
    <row r="91" spans="2:10" ht="12.75">
      <c r="B91" s="71" t="s">
        <v>8</v>
      </c>
      <c r="C91" s="72"/>
      <c r="D91" s="74">
        <f t="shared" si="4"/>
        <v>0</v>
      </c>
      <c r="E91" s="74">
        <f t="shared" si="4"/>
        <v>5020.901</v>
      </c>
      <c r="F91" s="75">
        <f t="shared" si="4"/>
        <v>700.509</v>
      </c>
      <c r="G91" s="463">
        <f t="shared" si="4"/>
        <v>100335.855</v>
      </c>
      <c r="H91" s="463">
        <f t="shared" si="4"/>
        <v>316.47185</v>
      </c>
      <c r="I91" s="464">
        <f t="shared" si="4"/>
        <v>740.056</v>
      </c>
      <c r="J91" s="50"/>
    </row>
    <row r="92" spans="2:10" ht="12.75">
      <c r="B92" s="71" t="s">
        <v>9</v>
      </c>
      <c r="C92" s="72"/>
      <c r="D92" s="74">
        <f t="shared" si="4"/>
        <v>8369.393</v>
      </c>
      <c r="E92" s="73">
        <f t="shared" si="4"/>
        <v>0</v>
      </c>
      <c r="F92" s="75">
        <f t="shared" si="4"/>
        <v>475.235</v>
      </c>
      <c r="G92" s="463">
        <f t="shared" si="4"/>
        <v>5217.544</v>
      </c>
      <c r="H92" s="462">
        <f t="shared" si="4"/>
        <v>0</v>
      </c>
      <c r="I92" s="464">
        <f t="shared" si="4"/>
        <v>193.114</v>
      </c>
      <c r="J92" s="50"/>
    </row>
    <row r="93" spans="2:10" ht="12.75">
      <c r="B93" s="71" t="s">
        <v>10</v>
      </c>
      <c r="C93" s="72"/>
      <c r="D93" s="74">
        <f t="shared" si="4"/>
        <v>363.06</v>
      </c>
      <c r="E93" s="73">
        <f t="shared" si="4"/>
        <v>0</v>
      </c>
      <c r="F93" s="75">
        <f t="shared" si="4"/>
        <v>42.686</v>
      </c>
      <c r="G93" s="463">
        <f t="shared" si="4"/>
        <v>704.6020000000001</v>
      </c>
      <c r="H93" s="462">
        <f t="shared" si="4"/>
        <v>0</v>
      </c>
      <c r="I93" s="464">
        <f t="shared" si="4"/>
        <v>48.617</v>
      </c>
      <c r="J93" s="50"/>
    </row>
    <row r="94" spans="2:10" ht="12.75">
      <c r="B94" s="76" t="s">
        <v>11</v>
      </c>
      <c r="C94" s="77"/>
      <c r="D94" s="74">
        <f t="shared" si="4"/>
        <v>110808.118</v>
      </c>
      <c r="E94" s="73">
        <f t="shared" si="4"/>
        <v>0</v>
      </c>
      <c r="F94" s="75">
        <f t="shared" si="4"/>
        <v>316.043</v>
      </c>
      <c r="G94" s="463">
        <f t="shared" si="4"/>
        <v>114727.76599999999</v>
      </c>
      <c r="H94" s="462">
        <f t="shared" si="4"/>
        <v>0</v>
      </c>
      <c r="I94" s="464">
        <f t="shared" si="4"/>
        <v>279.517</v>
      </c>
      <c r="J94" s="50"/>
    </row>
    <row r="95" spans="2:10" ht="12.75">
      <c r="B95" s="16" t="s">
        <v>343</v>
      </c>
      <c r="C95" s="77"/>
      <c r="D95" s="73">
        <f t="shared" si="4"/>
        <v>0</v>
      </c>
      <c r="E95" s="74">
        <f t="shared" si="4"/>
        <v>6381.004000000001</v>
      </c>
      <c r="F95" s="75">
        <f t="shared" si="4"/>
        <v>72.018</v>
      </c>
      <c r="G95" s="462">
        <f t="shared" si="4"/>
        <v>0</v>
      </c>
      <c r="H95" s="463">
        <f t="shared" si="4"/>
        <v>8924.063</v>
      </c>
      <c r="I95" s="464">
        <f t="shared" si="4"/>
        <v>321.809</v>
      </c>
      <c r="J95" s="50"/>
    </row>
    <row r="96" spans="2:10" ht="12.75">
      <c r="B96" s="78" t="s">
        <v>12</v>
      </c>
      <c r="C96" s="77"/>
      <c r="D96" s="74">
        <f t="shared" si="4"/>
        <v>788.069</v>
      </c>
      <c r="E96" s="73">
        <f t="shared" si="4"/>
        <v>0</v>
      </c>
      <c r="F96" s="79">
        <f t="shared" si="4"/>
        <v>0</v>
      </c>
      <c r="G96" s="463">
        <f t="shared" si="4"/>
        <v>807.296</v>
      </c>
      <c r="H96" s="462">
        <f t="shared" si="4"/>
        <v>0</v>
      </c>
      <c r="I96" s="465">
        <f t="shared" si="4"/>
        <v>0</v>
      </c>
      <c r="J96" s="50"/>
    </row>
    <row r="97" spans="2:10" ht="12.75">
      <c r="B97" s="76" t="s">
        <v>13</v>
      </c>
      <c r="C97" s="77"/>
      <c r="D97" s="73">
        <f t="shared" si="4"/>
        <v>0</v>
      </c>
      <c r="E97" s="74">
        <f t="shared" si="4"/>
        <v>34775.342000000004</v>
      </c>
      <c r="F97" s="75">
        <f t="shared" si="4"/>
        <v>316.784</v>
      </c>
      <c r="G97" s="462">
        <f t="shared" si="4"/>
        <v>0</v>
      </c>
      <c r="H97" s="463">
        <f t="shared" si="4"/>
        <v>25396.575</v>
      </c>
      <c r="I97" s="464">
        <f t="shared" si="4"/>
        <v>139.777</v>
      </c>
      <c r="J97" s="50"/>
    </row>
    <row r="98" spans="2:10" ht="12.75">
      <c r="B98" s="276" t="s">
        <v>344</v>
      </c>
      <c r="C98" s="77"/>
      <c r="D98" s="73">
        <f t="shared" si="4"/>
        <v>0</v>
      </c>
      <c r="E98" s="74">
        <f t="shared" si="4"/>
        <v>0</v>
      </c>
      <c r="F98" s="75">
        <f t="shared" si="4"/>
        <v>165.811</v>
      </c>
      <c r="G98" s="463">
        <f t="shared" si="4"/>
        <v>79475.00200000001</v>
      </c>
      <c r="H98" s="463">
        <f t="shared" si="4"/>
        <v>0</v>
      </c>
      <c r="I98" s="464">
        <f t="shared" si="4"/>
        <v>283.794</v>
      </c>
      <c r="J98" s="50"/>
    </row>
    <row r="99" spans="2:10" ht="12.75">
      <c r="B99" s="76" t="s">
        <v>28</v>
      </c>
      <c r="C99" s="77"/>
      <c r="D99" s="74">
        <f t="shared" si="4"/>
        <v>2228.7039999999997</v>
      </c>
      <c r="E99" s="73">
        <f t="shared" si="4"/>
        <v>0</v>
      </c>
      <c r="F99" s="75">
        <f t="shared" si="4"/>
        <v>34.785</v>
      </c>
      <c r="G99" s="463">
        <f t="shared" si="4"/>
        <v>2725.419</v>
      </c>
      <c r="H99" s="462">
        <f t="shared" si="4"/>
        <v>0</v>
      </c>
      <c r="I99" s="464">
        <f t="shared" si="4"/>
        <v>41.055</v>
      </c>
      <c r="J99" s="50"/>
    </row>
    <row r="100" spans="2:10" ht="12.75">
      <c r="B100" s="76" t="s">
        <v>15</v>
      </c>
      <c r="C100" s="80"/>
      <c r="D100" s="74">
        <f t="shared" si="4"/>
        <v>1482.901</v>
      </c>
      <c r="E100" s="73">
        <f t="shared" si="4"/>
        <v>0</v>
      </c>
      <c r="F100" s="75">
        <f t="shared" si="4"/>
        <v>18.025</v>
      </c>
      <c r="G100" s="463">
        <f t="shared" si="4"/>
        <v>1148.496</v>
      </c>
      <c r="H100" s="462">
        <f t="shared" si="4"/>
        <v>0</v>
      </c>
      <c r="I100" s="464">
        <f t="shared" si="4"/>
        <v>19.985</v>
      </c>
      <c r="J100" s="50"/>
    </row>
    <row r="101" spans="2:10" ht="13.5" thickBot="1">
      <c r="B101" s="76" t="s">
        <v>16</v>
      </c>
      <c r="C101" s="80"/>
      <c r="D101" s="74">
        <f t="shared" si="4"/>
        <v>178.869</v>
      </c>
      <c r="E101" s="73">
        <f t="shared" si="4"/>
        <v>0</v>
      </c>
      <c r="F101" s="75">
        <f t="shared" si="4"/>
        <v>66.254</v>
      </c>
      <c r="G101" s="463">
        <f t="shared" si="4"/>
        <v>178.869</v>
      </c>
      <c r="H101" s="462">
        <f t="shared" si="4"/>
        <v>0</v>
      </c>
      <c r="I101" s="464">
        <f t="shared" si="4"/>
        <v>62.561</v>
      </c>
      <c r="J101" s="50"/>
    </row>
    <row r="102" spans="2:10" ht="13.5" thickBot="1">
      <c r="B102" s="23" t="s">
        <v>23</v>
      </c>
      <c r="C102" s="44"/>
      <c r="D102" s="25">
        <f aca="true" t="shared" si="5" ref="D102:I102">SUM(D87:D101)</f>
        <v>137382.25100000002</v>
      </c>
      <c r="E102" s="25">
        <f t="shared" si="5"/>
        <v>75029.49600000001</v>
      </c>
      <c r="F102" s="25">
        <f t="shared" si="5"/>
        <v>3719.3450000000007</v>
      </c>
      <c r="G102" s="371">
        <f t="shared" si="5"/>
        <v>367411.895</v>
      </c>
      <c r="H102" s="371">
        <f t="shared" si="5"/>
        <v>60962.958849999995</v>
      </c>
      <c r="I102" s="371">
        <f t="shared" si="5"/>
        <v>3657.0870000000004</v>
      </c>
      <c r="J102" s="50"/>
    </row>
    <row r="103" ht="12.75">
      <c r="J103" s="50"/>
    </row>
    <row r="104" ht="12.75">
      <c r="J104" s="50"/>
    </row>
    <row r="105" ht="12.75">
      <c r="J105" s="50"/>
    </row>
    <row r="106" ht="12.75">
      <c r="J106" s="50"/>
    </row>
    <row r="107" ht="12.75">
      <c r="J107" s="50"/>
    </row>
    <row r="108" ht="12.75">
      <c r="J108" s="50"/>
    </row>
    <row r="109" ht="12.75">
      <c r="J109" s="50"/>
    </row>
    <row r="110" ht="12.75">
      <c r="J110" s="50"/>
    </row>
    <row r="111" ht="12.75">
      <c r="J111" s="50"/>
    </row>
    <row r="112" ht="12.75">
      <c r="J112" s="50"/>
    </row>
    <row r="113" ht="12.75">
      <c r="J113" s="50"/>
    </row>
    <row r="114" ht="12.75">
      <c r="J114" s="50"/>
    </row>
  </sheetData>
  <printOptions horizontalCentered="1" verticalCentered="1"/>
  <pageMargins left="0" right="0" top="0.3937007874015748" bottom="0.1968503937007874" header="0.1968503937007874" footer="0.5118110236220472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6"/>
  <sheetViews>
    <sheetView zoomScale="80" zoomScaleNormal="80" workbookViewId="0" topLeftCell="A1">
      <selection activeCell="E24" sqref="E24"/>
    </sheetView>
  </sheetViews>
  <sheetFormatPr defaultColWidth="9.140625" defaultRowHeight="12.75"/>
  <cols>
    <col min="1" max="1" width="2.00390625" style="1" customWidth="1"/>
    <col min="2" max="2" width="18.57421875" style="1" customWidth="1"/>
    <col min="3" max="3" width="14.8515625" style="1" bestFit="1" customWidth="1"/>
    <col min="4" max="4" width="13.28125" style="1" customWidth="1"/>
    <col min="5" max="5" width="15.421875" style="1" customWidth="1"/>
    <col min="6" max="7" width="9.140625" style="1" customWidth="1"/>
    <col min="8" max="8" width="14.28125" style="1" customWidth="1"/>
    <col min="9" max="16384" width="9.140625" style="1" customWidth="1"/>
  </cols>
  <sheetData>
    <row r="1" ht="15.75">
      <c r="E1" s="2" t="s">
        <v>341</v>
      </c>
    </row>
    <row r="2" ht="15.75">
      <c r="B2" s="3" t="s">
        <v>403</v>
      </c>
    </row>
    <row r="3" ht="13.5" customHeight="1">
      <c r="B3" s="4" t="s">
        <v>0</v>
      </c>
    </row>
    <row r="4" ht="13.5" thickBot="1">
      <c r="E4" s="4" t="s">
        <v>1</v>
      </c>
    </row>
    <row r="5" spans="2:7" ht="43.5" customHeight="1" thickBot="1">
      <c r="B5" s="5"/>
      <c r="C5" s="466" t="s">
        <v>353</v>
      </c>
      <c r="D5" s="467" t="s">
        <v>2</v>
      </c>
      <c r="E5" s="468" t="s">
        <v>402</v>
      </c>
      <c r="F5" s="7"/>
      <c r="G5" s="7"/>
    </row>
    <row r="6" spans="2:5" ht="13.5" thickBot="1">
      <c r="B6" s="8" t="s">
        <v>3</v>
      </c>
      <c r="C6" s="9">
        <v>1</v>
      </c>
      <c r="D6" s="10">
        <v>2</v>
      </c>
      <c r="E6" s="11">
        <v>3</v>
      </c>
    </row>
    <row r="7" spans="2:7" ht="12.75">
      <c r="B7" s="12" t="s">
        <v>4</v>
      </c>
      <c r="C7" s="263">
        <f>penFondy!H6</f>
        <v>544</v>
      </c>
      <c r="D7" s="13"/>
      <c r="E7" s="14">
        <f aca="true" t="shared" si="0" ref="E7:E21">SUM(C7:D7)</f>
        <v>544</v>
      </c>
      <c r="G7" s="15"/>
    </row>
    <row r="8" spans="2:7" ht="12.75">
      <c r="B8" s="16" t="s">
        <v>5</v>
      </c>
      <c r="C8" s="255">
        <f>penFondy!H7</f>
        <v>583.56</v>
      </c>
      <c r="D8" s="269"/>
      <c r="E8" s="19">
        <f t="shared" si="0"/>
        <v>583.56</v>
      </c>
      <c r="G8" s="15"/>
    </row>
    <row r="9" spans="2:7" ht="12.75">
      <c r="B9" s="16" t="s">
        <v>6</v>
      </c>
      <c r="C9" s="255">
        <f>penFondy!H8</f>
        <v>260</v>
      </c>
      <c r="D9" s="269"/>
      <c r="E9" s="19">
        <f t="shared" si="0"/>
        <v>260</v>
      </c>
      <c r="G9" s="15"/>
    </row>
    <row r="10" spans="2:7" ht="12.75">
      <c r="B10" s="16" t="s">
        <v>7</v>
      </c>
      <c r="C10" s="255">
        <f>penFondy!H9</f>
        <v>2014.5520000000001</v>
      </c>
      <c r="D10" s="269"/>
      <c r="E10" s="19">
        <f t="shared" si="0"/>
        <v>2014.5520000000001</v>
      </c>
      <c r="G10" s="15"/>
    </row>
    <row r="11" spans="2:7" ht="12.75">
      <c r="B11" s="16" t="s">
        <v>8</v>
      </c>
      <c r="C11" s="255">
        <f>penFondy!H10</f>
        <v>2.7649999999999864</v>
      </c>
      <c r="D11" s="269">
        <v>200</v>
      </c>
      <c r="E11" s="19">
        <f t="shared" si="0"/>
        <v>202.765</v>
      </c>
      <c r="G11" s="15"/>
    </row>
    <row r="12" spans="2:7" ht="12.75">
      <c r="B12" s="16" t="s">
        <v>9</v>
      </c>
      <c r="C12" s="255">
        <f>penFondy!H11</f>
        <v>920.7389999999999</v>
      </c>
      <c r="D12" s="269">
        <v>323</v>
      </c>
      <c r="E12" s="19">
        <f t="shared" si="0"/>
        <v>1243.739</v>
      </c>
      <c r="G12" s="15"/>
    </row>
    <row r="13" spans="2:7" ht="12.75">
      <c r="B13" s="16" t="s">
        <v>10</v>
      </c>
      <c r="C13" s="255">
        <f>penFondy!H12</f>
        <v>0</v>
      </c>
      <c r="D13" s="269">
        <v>100</v>
      </c>
      <c r="E13" s="19">
        <f t="shared" si="0"/>
        <v>100</v>
      </c>
      <c r="G13" s="15"/>
    </row>
    <row r="14" spans="2:7" ht="12.75">
      <c r="B14" s="16" t="s">
        <v>11</v>
      </c>
      <c r="C14" s="255">
        <f>penFondy!H13</f>
        <v>115.037</v>
      </c>
      <c r="D14" s="269">
        <v>359.106</v>
      </c>
      <c r="E14" s="19">
        <f t="shared" si="0"/>
        <v>474.14300000000003</v>
      </c>
      <c r="G14" s="15"/>
    </row>
    <row r="15" spans="2:7" ht="12.75">
      <c r="B15" s="16" t="s">
        <v>343</v>
      </c>
      <c r="C15" s="255">
        <f>penFondy!H14</f>
        <v>701.506</v>
      </c>
      <c r="D15" s="269">
        <v>1210</v>
      </c>
      <c r="E15" s="19">
        <f t="shared" si="0"/>
        <v>1911.5059999999999</v>
      </c>
      <c r="G15" s="15"/>
    </row>
    <row r="16" spans="2:7" ht="12.75">
      <c r="B16" s="20" t="s">
        <v>12</v>
      </c>
      <c r="C16" s="255">
        <f>penFondy!H15</f>
        <v>0</v>
      </c>
      <c r="D16" s="269"/>
      <c r="E16" s="19">
        <f t="shared" si="0"/>
        <v>0</v>
      </c>
      <c r="G16" s="15"/>
    </row>
    <row r="17" spans="2:7" ht="12.75">
      <c r="B17" s="16" t="s">
        <v>13</v>
      </c>
      <c r="C17" s="255">
        <f>penFondy!H16</f>
        <v>945.738</v>
      </c>
      <c r="D17" s="269">
        <v>616</v>
      </c>
      <c r="E17" s="19">
        <f t="shared" si="0"/>
        <v>1561.738</v>
      </c>
      <c r="G17" s="15"/>
    </row>
    <row r="18" spans="2:7" ht="12.75">
      <c r="B18" s="276" t="s">
        <v>344</v>
      </c>
      <c r="C18" s="255">
        <f>penFondy!H17</f>
        <v>0</v>
      </c>
      <c r="D18" s="269"/>
      <c r="E18" s="19">
        <f t="shared" si="0"/>
        <v>0</v>
      </c>
      <c r="G18" s="15"/>
    </row>
    <row r="19" spans="2:7" ht="12.75">
      <c r="B19" s="16" t="s">
        <v>14</v>
      </c>
      <c r="C19" s="255">
        <f>penFondy!H18</f>
        <v>209.378</v>
      </c>
      <c r="D19" s="363">
        <v>41</v>
      </c>
      <c r="E19" s="19">
        <f t="shared" si="0"/>
        <v>250.378</v>
      </c>
      <c r="G19" s="15"/>
    </row>
    <row r="20" spans="2:7" ht="12.75">
      <c r="B20" s="20" t="s">
        <v>15</v>
      </c>
      <c r="C20" s="264">
        <f>penFondy!H19</f>
        <v>0</v>
      </c>
      <c r="D20" s="363"/>
      <c r="E20" s="22">
        <f t="shared" si="0"/>
        <v>0</v>
      </c>
      <c r="G20" s="15"/>
    </row>
    <row r="21" spans="2:7" ht="13.5" thickBot="1">
      <c r="B21" s="16" t="s">
        <v>16</v>
      </c>
      <c r="C21" s="255">
        <f>penFondy!H20</f>
        <v>90.352</v>
      </c>
      <c r="D21" s="269"/>
      <c r="E21" s="19">
        <f t="shared" si="0"/>
        <v>90.352</v>
      </c>
      <c r="G21" s="15"/>
    </row>
    <row r="22" spans="2:5" ht="16.5" customHeight="1" thickBot="1">
      <c r="B22" s="23" t="s">
        <v>17</v>
      </c>
      <c r="C22" s="24">
        <f>SUM(C7:C21)</f>
        <v>6387.627</v>
      </c>
      <c r="D22" s="371">
        <f>SUM(D7:D21)</f>
        <v>2849.1059999999998</v>
      </c>
      <c r="E22" s="25">
        <f>SUM(E7:E21)</f>
        <v>9236.733</v>
      </c>
    </row>
    <row r="23" ht="13.5" thickBot="1">
      <c r="D23" s="372"/>
    </row>
    <row r="24" spans="2:5" ht="13.5" thickBot="1">
      <c r="B24" s="26" t="s">
        <v>18</v>
      </c>
      <c r="C24" s="9">
        <v>1</v>
      </c>
      <c r="D24" s="373">
        <v>2</v>
      </c>
      <c r="E24" s="11">
        <v>3</v>
      </c>
    </row>
    <row r="25" spans="2:5" ht="12.75">
      <c r="B25" s="12" t="s">
        <v>4</v>
      </c>
      <c r="C25" s="263">
        <f>penFondy!H44</f>
        <v>48484.382</v>
      </c>
      <c r="D25" s="374">
        <v>58.416</v>
      </c>
      <c r="E25" s="14">
        <f aca="true" t="shared" si="1" ref="E25:E39">SUM(C25:D25)</f>
        <v>48542.797999999995</v>
      </c>
    </row>
    <row r="26" spans="2:5" ht="12.75">
      <c r="B26" s="16" t="s">
        <v>5</v>
      </c>
      <c r="C26" s="255">
        <f>penFondy!H45</f>
        <v>45047.141</v>
      </c>
      <c r="D26" s="269">
        <v>41.057</v>
      </c>
      <c r="E26" s="19">
        <f t="shared" si="1"/>
        <v>45088.198000000004</v>
      </c>
    </row>
    <row r="27" spans="2:5" ht="12.75">
      <c r="B27" s="16" t="s">
        <v>6</v>
      </c>
      <c r="C27" s="255">
        <f>penFondy!H46</f>
        <v>563</v>
      </c>
      <c r="D27" s="269">
        <v>4</v>
      </c>
      <c r="E27" s="19">
        <f t="shared" si="1"/>
        <v>567</v>
      </c>
    </row>
    <row r="28" spans="2:5" ht="12.75">
      <c r="B28" s="16" t="s">
        <v>7</v>
      </c>
      <c r="C28" s="255">
        <f>penFondy!H47</f>
        <v>25392.663</v>
      </c>
      <c r="D28" s="269">
        <v>432.742</v>
      </c>
      <c r="E28" s="19">
        <f t="shared" si="1"/>
        <v>25825.405</v>
      </c>
    </row>
    <row r="29" spans="2:5" ht="12.75">
      <c r="B29" s="16" t="s">
        <v>8</v>
      </c>
      <c r="C29" s="255">
        <f>penFondy!H48</f>
        <v>100562.003</v>
      </c>
      <c r="D29" s="269">
        <v>312.451</v>
      </c>
      <c r="E29" s="19">
        <f t="shared" si="1"/>
        <v>100874.454</v>
      </c>
    </row>
    <row r="30" spans="2:5" ht="12.75">
      <c r="B30" s="16" t="s">
        <v>9</v>
      </c>
      <c r="C30" s="255">
        <f>penFondy!H49</f>
        <v>2278.6960000000004</v>
      </c>
      <c r="D30" s="269">
        <v>3133.2</v>
      </c>
      <c r="E30" s="19">
        <f t="shared" si="1"/>
        <v>5411.896000000001</v>
      </c>
    </row>
    <row r="31" spans="2:5" ht="12.75">
      <c r="B31" s="16" t="s">
        <v>10</v>
      </c>
      <c r="C31" s="255">
        <f>penFondy!H50</f>
        <v>172.531</v>
      </c>
      <c r="D31" s="269">
        <v>217.336</v>
      </c>
      <c r="E31" s="19">
        <f t="shared" si="1"/>
        <v>389.867</v>
      </c>
    </row>
    <row r="32" spans="2:5" ht="12.75">
      <c r="B32" s="16" t="s">
        <v>11</v>
      </c>
      <c r="C32" s="255">
        <f>penFondy!H51</f>
        <v>185563.364</v>
      </c>
      <c r="D32" s="269">
        <v>100</v>
      </c>
      <c r="E32" s="19">
        <f t="shared" si="1"/>
        <v>185663.364</v>
      </c>
    </row>
    <row r="33" spans="2:7" ht="12.75">
      <c r="B33" s="16" t="s">
        <v>343</v>
      </c>
      <c r="C33" s="255">
        <f>penFondy!H52</f>
        <v>7899.845000000001</v>
      </c>
      <c r="D33" s="269">
        <v>15952.65</v>
      </c>
      <c r="E33" s="19">
        <f t="shared" si="1"/>
        <v>23852.495000000003</v>
      </c>
      <c r="G33" s="15"/>
    </row>
    <row r="34" spans="2:5" ht="12.75">
      <c r="B34" s="20" t="s">
        <v>12</v>
      </c>
      <c r="C34" s="255">
        <f>penFondy!H53</f>
        <v>352.69100000000003</v>
      </c>
      <c r="D34" s="363">
        <v>17.269</v>
      </c>
      <c r="E34" s="22">
        <f t="shared" si="1"/>
        <v>369.96000000000004</v>
      </c>
    </row>
    <row r="35" spans="2:5" ht="12.75">
      <c r="B35" s="16" t="s">
        <v>13</v>
      </c>
      <c r="C35" s="255">
        <f>penFondy!H54</f>
        <v>5264.615000000005</v>
      </c>
      <c r="D35" s="269">
        <v>5201.21</v>
      </c>
      <c r="E35" s="19">
        <f t="shared" si="1"/>
        <v>10465.825000000004</v>
      </c>
    </row>
    <row r="36" spans="2:5" ht="12.75">
      <c r="B36" s="276" t="s">
        <v>344</v>
      </c>
      <c r="C36" s="255">
        <f>penFondy!H55</f>
        <v>73656.421</v>
      </c>
      <c r="D36" s="269">
        <v>1000</v>
      </c>
      <c r="E36" s="19">
        <f t="shared" si="1"/>
        <v>74656.421</v>
      </c>
    </row>
    <row r="37" spans="2:5" ht="12.75">
      <c r="B37" s="16" t="s">
        <v>14</v>
      </c>
      <c r="C37" s="255">
        <f>penFondy!H56</f>
        <v>1211.1440000000002</v>
      </c>
      <c r="D37" s="269">
        <v>501.57</v>
      </c>
      <c r="E37" s="19">
        <f t="shared" si="1"/>
        <v>1712.7140000000002</v>
      </c>
    </row>
    <row r="38" spans="2:5" ht="12.75">
      <c r="B38" s="20" t="s">
        <v>15</v>
      </c>
      <c r="C38" s="264">
        <f>penFondy!H57</f>
        <v>0</v>
      </c>
      <c r="D38" s="269">
        <v>400.618</v>
      </c>
      <c r="E38" s="19">
        <f t="shared" si="1"/>
        <v>400.618</v>
      </c>
    </row>
    <row r="39" spans="2:5" ht="13.5" thickBot="1">
      <c r="B39" s="16" t="s">
        <v>16</v>
      </c>
      <c r="C39" s="255">
        <f>penFondy!H58</f>
        <v>23.198</v>
      </c>
      <c r="D39" s="269"/>
      <c r="E39" s="19">
        <f t="shared" si="1"/>
        <v>23.198</v>
      </c>
    </row>
    <row r="40" spans="2:7" ht="13.5" thickBot="1">
      <c r="B40" s="23" t="s">
        <v>19</v>
      </c>
      <c r="C40" s="27">
        <f>SUM(C25:C39)</f>
        <v>496471.6939999999</v>
      </c>
      <c r="D40" s="25">
        <f>SUM(D25:D39)</f>
        <v>27372.518999999997</v>
      </c>
      <c r="E40" s="25">
        <f>SUM(E25:E39)</f>
        <v>523844.21299999993</v>
      </c>
      <c r="G40" s="15"/>
    </row>
    <row r="41" ht="13.5" thickBot="1"/>
    <row r="42" spans="2:5" ht="13.5" thickBot="1">
      <c r="B42" s="26" t="s">
        <v>20</v>
      </c>
      <c r="C42" s="9">
        <v>1</v>
      </c>
      <c r="D42" s="10">
        <v>2</v>
      </c>
      <c r="E42" s="11">
        <v>3</v>
      </c>
    </row>
    <row r="43" spans="2:5" ht="12.75">
      <c r="B43" s="12" t="s">
        <v>4</v>
      </c>
      <c r="C43" s="263">
        <f>penFondy!H63</f>
        <v>2912.6630000000005</v>
      </c>
      <c r="D43" s="263"/>
      <c r="E43" s="14">
        <f aca="true" t="shared" si="2" ref="E43:E57">SUM(C43:D43)</f>
        <v>2912.6630000000005</v>
      </c>
    </row>
    <row r="44" spans="2:5" ht="12.75">
      <c r="B44" s="16" t="s">
        <v>5</v>
      </c>
      <c r="C44" s="255">
        <f>penFondy!H64</f>
        <v>6090.328999999999</v>
      </c>
      <c r="D44" s="255"/>
      <c r="E44" s="28">
        <f t="shared" si="2"/>
        <v>6090.328999999999</v>
      </c>
    </row>
    <row r="45" spans="2:5" ht="12.75">
      <c r="B45" s="16" t="s">
        <v>6</v>
      </c>
      <c r="C45" s="255">
        <f>penFondy!H65</f>
        <v>9328</v>
      </c>
      <c r="D45" s="255"/>
      <c r="E45" s="19">
        <f t="shared" si="2"/>
        <v>9328</v>
      </c>
    </row>
    <row r="46" spans="2:5" ht="12.75">
      <c r="B46" s="16" t="s">
        <v>7</v>
      </c>
      <c r="C46" s="255">
        <f>penFondy!H66</f>
        <v>8628.872</v>
      </c>
      <c r="D46" s="255"/>
      <c r="E46" s="19">
        <f t="shared" si="2"/>
        <v>8628.872</v>
      </c>
    </row>
    <row r="47" spans="2:5" ht="12.75">
      <c r="B47" s="16" t="s">
        <v>8</v>
      </c>
      <c r="C47" s="255">
        <f>penFondy!H67</f>
        <v>87.5590000000002</v>
      </c>
      <c r="D47" s="255"/>
      <c r="E47" s="19">
        <f t="shared" si="2"/>
        <v>87.5590000000002</v>
      </c>
    </row>
    <row r="48" spans="2:5" ht="12.75">
      <c r="B48" s="16" t="s">
        <v>9</v>
      </c>
      <c r="C48" s="255">
        <f>penFondy!H68</f>
        <v>2018.1090000000004</v>
      </c>
      <c r="D48" s="255"/>
      <c r="E48" s="19">
        <f t="shared" si="2"/>
        <v>2018.1090000000004</v>
      </c>
    </row>
    <row r="49" spans="2:5" ht="12.75">
      <c r="B49" s="16" t="s">
        <v>10</v>
      </c>
      <c r="C49" s="255">
        <f>penFondy!H69</f>
        <v>532.0719999999999</v>
      </c>
      <c r="D49" s="270">
        <v>105.779</v>
      </c>
      <c r="E49" s="19">
        <f t="shared" si="2"/>
        <v>637.8509999999999</v>
      </c>
    </row>
    <row r="50" spans="2:5" ht="12.75">
      <c r="B50" s="16" t="s">
        <v>11</v>
      </c>
      <c r="C50" s="255">
        <f>penFondy!H70</f>
        <v>2797.65</v>
      </c>
      <c r="D50" s="255"/>
      <c r="E50" s="19">
        <f t="shared" si="2"/>
        <v>2797.65</v>
      </c>
    </row>
    <row r="51" spans="2:5" ht="12.75">
      <c r="B51" s="16" t="s">
        <v>343</v>
      </c>
      <c r="C51" s="255">
        <f>penFondy!H71</f>
        <v>10836.144</v>
      </c>
      <c r="D51" s="255"/>
      <c r="E51" s="19">
        <f t="shared" si="2"/>
        <v>10836.144</v>
      </c>
    </row>
    <row r="52" spans="2:5" ht="12.75">
      <c r="B52" s="20" t="s">
        <v>12</v>
      </c>
      <c r="C52" s="255">
        <f>penFondy!H72</f>
        <v>454.604</v>
      </c>
      <c r="D52" s="264"/>
      <c r="E52" s="22">
        <f t="shared" si="2"/>
        <v>454.604</v>
      </c>
    </row>
    <row r="53" spans="2:5" ht="12.75">
      <c r="B53" s="16" t="s">
        <v>13</v>
      </c>
      <c r="C53" s="255">
        <f>penFondy!H73</f>
        <v>19186.222</v>
      </c>
      <c r="D53" s="255"/>
      <c r="E53" s="19">
        <f t="shared" si="2"/>
        <v>19186.222</v>
      </c>
    </row>
    <row r="54" spans="2:5" ht="12.75">
      <c r="B54" s="276" t="s">
        <v>344</v>
      </c>
      <c r="C54" s="255">
        <f>penFondy!H74</f>
        <v>5818.581</v>
      </c>
      <c r="D54" s="255">
        <v>20704.473</v>
      </c>
      <c r="E54" s="19">
        <f>SUM(C54:D54)</f>
        <v>26523.054000000004</v>
      </c>
    </row>
    <row r="55" spans="2:5" ht="12.75">
      <c r="B55" s="16" t="s">
        <v>14</v>
      </c>
      <c r="C55" s="255">
        <f>penFondy!H75</f>
        <v>1305.205</v>
      </c>
      <c r="D55" s="255"/>
      <c r="E55" s="19">
        <f t="shared" si="2"/>
        <v>1305.205</v>
      </c>
    </row>
    <row r="56" spans="2:5" ht="12.75">
      <c r="B56" s="20" t="s">
        <v>15</v>
      </c>
      <c r="C56" s="264">
        <f>penFondy!H76</f>
        <v>1148.496</v>
      </c>
      <c r="D56" s="255"/>
      <c r="E56" s="19">
        <f t="shared" si="2"/>
        <v>1148.496</v>
      </c>
    </row>
    <row r="57" spans="2:5" ht="13.5" thickBot="1">
      <c r="B57" s="16" t="s">
        <v>16</v>
      </c>
      <c r="C57" s="270">
        <f>penFondy!H77</f>
        <v>1081.82</v>
      </c>
      <c r="D57" s="255"/>
      <c r="E57" s="19">
        <f t="shared" si="2"/>
        <v>1081.82</v>
      </c>
    </row>
    <row r="58" spans="2:7" ht="13.5" thickBot="1">
      <c r="B58" s="23" t="s">
        <v>21</v>
      </c>
      <c r="C58" s="27">
        <f>SUM(C43:C57)</f>
        <v>72226.32600000002</v>
      </c>
      <c r="D58" s="25">
        <f>SUM(D43:D57)</f>
        <v>20810.252</v>
      </c>
      <c r="E58" s="25">
        <f>SUM(E43:E57)</f>
        <v>93036.57800000001</v>
      </c>
      <c r="G58" s="15"/>
    </row>
    <row r="59" spans="2:7" ht="13.5" thickBot="1">
      <c r="B59" s="29"/>
      <c r="C59" s="30"/>
      <c r="D59" s="31"/>
      <c r="E59" s="31"/>
      <c r="G59" s="15"/>
    </row>
    <row r="60" spans="2:5" ht="13.5" thickBot="1">
      <c r="B60" s="26" t="s">
        <v>22</v>
      </c>
      <c r="C60" s="32">
        <v>1</v>
      </c>
      <c r="D60" s="10">
        <v>2</v>
      </c>
      <c r="E60" s="11">
        <v>3</v>
      </c>
    </row>
    <row r="61" spans="2:5" ht="12.75">
      <c r="B61" s="12" t="s">
        <v>4</v>
      </c>
      <c r="C61" s="33">
        <f aca="true" t="shared" si="3" ref="C61:C75">SUM(C7,C25,C43)</f>
        <v>51941.045</v>
      </c>
      <c r="D61" s="34">
        <f aca="true" t="shared" si="4" ref="D61:E75">D7+D25+D43</f>
        <v>58.416</v>
      </c>
      <c r="E61" s="35">
        <f t="shared" si="4"/>
        <v>51999.460999999996</v>
      </c>
    </row>
    <row r="62" spans="2:5" ht="12.75">
      <c r="B62" s="16" t="s">
        <v>5</v>
      </c>
      <c r="C62" s="36">
        <f t="shared" si="3"/>
        <v>51721.03</v>
      </c>
      <c r="D62" s="37">
        <f t="shared" si="4"/>
        <v>41.057</v>
      </c>
      <c r="E62" s="28">
        <f t="shared" si="4"/>
        <v>51762.087</v>
      </c>
    </row>
    <row r="63" spans="2:5" ht="12.75">
      <c r="B63" s="16" t="s">
        <v>6</v>
      </c>
      <c r="C63" s="36">
        <f t="shared" si="3"/>
        <v>10151</v>
      </c>
      <c r="D63" s="37">
        <f t="shared" si="4"/>
        <v>4</v>
      </c>
      <c r="E63" s="28">
        <f t="shared" si="4"/>
        <v>10155</v>
      </c>
    </row>
    <row r="64" spans="2:5" ht="12.75">
      <c r="B64" s="16" t="s">
        <v>7</v>
      </c>
      <c r="C64" s="36">
        <f t="shared" si="3"/>
        <v>36036.087</v>
      </c>
      <c r="D64" s="37">
        <f t="shared" si="4"/>
        <v>432.742</v>
      </c>
      <c r="E64" s="28">
        <f t="shared" si="4"/>
        <v>36468.829</v>
      </c>
    </row>
    <row r="65" spans="2:5" ht="12.75">
      <c r="B65" s="16" t="s">
        <v>8</v>
      </c>
      <c r="C65" s="36">
        <f t="shared" si="3"/>
        <v>100652.32699999999</v>
      </c>
      <c r="D65" s="37">
        <f t="shared" si="4"/>
        <v>512.451</v>
      </c>
      <c r="E65" s="28">
        <f t="shared" si="4"/>
        <v>101164.77799999999</v>
      </c>
    </row>
    <row r="66" spans="2:5" ht="12.75">
      <c r="B66" s="16" t="s">
        <v>9</v>
      </c>
      <c r="C66" s="36">
        <f t="shared" si="3"/>
        <v>5217.544000000001</v>
      </c>
      <c r="D66" s="37">
        <f t="shared" si="4"/>
        <v>3456.2</v>
      </c>
      <c r="E66" s="28">
        <f t="shared" si="4"/>
        <v>8673.744</v>
      </c>
    </row>
    <row r="67" spans="2:5" ht="12.75">
      <c r="B67" s="272" t="s">
        <v>10</v>
      </c>
      <c r="C67" s="36">
        <f t="shared" si="3"/>
        <v>704.6029999999998</v>
      </c>
      <c r="D67" s="37">
        <f t="shared" si="4"/>
        <v>423.115</v>
      </c>
      <c r="E67" s="28">
        <f t="shared" si="4"/>
        <v>1127.7179999999998</v>
      </c>
    </row>
    <row r="68" spans="2:5" ht="12.75">
      <c r="B68" s="16" t="s">
        <v>11</v>
      </c>
      <c r="C68" s="36">
        <f t="shared" si="3"/>
        <v>188476.051</v>
      </c>
      <c r="D68" s="37">
        <f t="shared" si="4"/>
        <v>459.106</v>
      </c>
      <c r="E68" s="28">
        <f t="shared" si="4"/>
        <v>188935.157</v>
      </c>
    </row>
    <row r="69" spans="2:5" ht="12.75">
      <c r="B69" s="16" t="s">
        <v>343</v>
      </c>
      <c r="C69" s="36">
        <f t="shared" si="3"/>
        <v>19437.495000000003</v>
      </c>
      <c r="D69" s="37">
        <f t="shared" si="4"/>
        <v>17162.65</v>
      </c>
      <c r="E69" s="28">
        <f t="shared" si="4"/>
        <v>36600.145000000004</v>
      </c>
    </row>
    <row r="70" spans="2:5" ht="12.75">
      <c r="B70" s="20" t="s">
        <v>12</v>
      </c>
      <c r="C70" s="36">
        <f t="shared" si="3"/>
        <v>807.2950000000001</v>
      </c>
      <c r="D70" s="37">
        <f t="shared" si="4"/>
        <v>17.269</v>
      </c>
      <c r="E70" s="28">
        <f t="shared" si="4"/>
        <v>824.5640000000001</v>
      </c>
    </row>
    <row r="71" spans="2:5" ht="12.75">
      <c r="B71" s="16" t="s">
        <v>13</v>
      </c>
      <c r="C71" s="36">
        <f t="shared" si="3"/>
        <v>25396.575000000008</v>
      </c>
      <c r="D71" s="37">
        <f t="shared" si="4"/>
        <v>5817.21</v>
      </c>
      <c r="E71" s="28">
        <f t="shared" si="4"/>
        <v>31213.785000000003</v>
      </c>
    </row>
    <row r="72" spans="2:5" ht="12.75">
      <c r="B72" s="53" t="s">
        <v>344</v>
      </c>
      <c r="C72" s="36">
        <f t="shared" si="3"/>
        <v>79475.00200000001</v>
      </c>
      <c r="D72" s="37">
        <f t="shared" si="4"/>
        <v>21704.473</v>
      </c>
      <c r="E72" s="28">
        <f t="shared" si="4"/>
        <v>101179.475</v>
      </c>
    </row>
    <row r="73" spans="2:5" ht="12.75">
      <c r="B73" s="16" t="s">
        <v>14</v>
      </c>
      <c r="C73" s="36">
        <f t="shared" si="3"/>
        <v>2725.727</v>
      </c>
      <c r="D73" s="37">
        <f t="shared" si="4"/>
        <v>542.5699999999999</v>
      </c>
      <c r="E73" s="28">
        <f t="shared" si="4"/>
        <v>3268.297</v>
      </c>
    </row>
    <row r="74" spans="2:5" ht="12.75">
      <c r="B74" s="20" t="s">
        <v>15</v>
      </c>
      <c r="C74" s="36">
        <f t="shared" si="3"/>
        <v>1148.496</v>
      </c>
      <c r="D74" s="37">
        <f t="shared" si="4"/>
        <v>400.618</v>
      </c>
      <c r="E74" s="28">
        <f t="shared" si="4"/>
        <v>1549.114</v>
      </c>
    </row>
    <row r="75" spans="2:5" ht="13.5" thickBot="1">
      <c r="B75" s="272" t="s">
        <v>16</v>
      </c>
      <c r="C75" s="271">
        <f t="shared" si="3"/>
        <v>1195.37</v>
      </c>
      <c r="D75" s="37">
        <f t="shared" si="4"/>
        <v>0</v>
      </c>
      <c r="E75" s="28">
        <f t="shared" si="4"/>
        <v>1195.37</v>
      </c>
    </row>
    <row r="76" spans="2:7" ht="13.5" thickBot="1">
      <c r="B76" s="23" t="s">
        <v>23</v>
      </c>
      <c r="C76" s="38">
        <f>SUM(C61:C75)</f>
        <v>575085.647</v>
      </c>
      <c r="D76" s="25">
        <f>SUM(D61:D75)</f>
        <v>51031.877</v>
      </c>
      <c r="E76" s="25">
        <f>SUM(E61:E75)</f>
        <v>626117.524</v>
      </c>
      <c r="G76" s="15"/>
    </row>
  </sheetData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14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5" sqref="J15:J16"/>
    </sheetView>
  </sheetViews>
  <sheetFormatPr defaultColWidth="9.140625" defaultRowHeight="12.75"/>
  <cols>
    <col min="1" max="1" width="7.8515625" style="0" customWidth="1"/>
    <col min="2" max="2" width="22.57421875" style="0" customWidth="1"/>
    <col min="3" max="5" width="11.28125" style="0" bestFit="1" customWidth="1"/>
    <col min="6" max="6" width="10.28125" style="0" bestFit="1" customWidth="1"/>
    <col min="7" max="7" width="9.28125" style="0" bestFit="1" customWidth="1"/>
    <col min="8" max="8" width="11.28125" style="0" bestFit="1" customWidth="1"/>
    <col min="9" max="9" width="4.57421875" style="182" customWidth="1"/>
    <col min="10" max="12" width="11.28125" style="0" bestFit="1" customWidth="1"/>
    <col min="13" max="13" width="3.8515625" style="182" bestFit="1" customWidth="1"/>
    <col min="14" max="14" width="11.7109375" style="0" customWidth="1"/>
    <col min="15" max="15" width="6.7109375" style="0" bestFit="1" customWidth="1"/>
    <col min="16" max="16" width="3.8515625" style="0" customWidth="1"/>
  </cols>
  <sheetData>
    <row r="1" spans="1:14" ht="15.75">
      <c r="A1" s="181" t="s">
        <v>399</v>
      </c>
      <c r="I1"/>
      <c r="N1" s="181" t="s">
        <v>197</v>
      </c>
    </row>
    <row r="2" spans="1:14" ht="16.5" thickBot="1">
      <c r="A2" s="181"/>
      <c r="N2" t="s">
        <v>1</v>
      </c>
    </row>
    <row r="3" spans="1:15" ht="66.75" customHeight="1">
      <c r="A3" s="375"/>
      <c r="B3" s="376"/>
      <c r="C3" s="185" t="s">
        <v>198</v>
      </c>
      <c r="D3" s="186" t="s">
        <v>199</v>
      </c>
      <c r="E3" s="187" t="s">
        <v>200</v>
      </c>
      <c r="F3" s="188" t="s">
        <v>201</v>
      </c>
      <c r="G3" s="185" t="s">
        <v>202</v>
      </c>
      <c r="H3" s="186" t="s">
        <v>203</v>
      </c>
      <c r="I3" s="273" t="s">
        <v>283</v>
      </c>
      <c r="J3" s="187" t="s">
        <v>204</v>
      </c>
      <c r="K3" s="187" t="s">
        <v>205</v>
      </c>
      <c r="L3" s="189" t="s">
        <v>206</v>
      </c>
      <c r="M3" s="469" t="s">
        <v>207</v>
      </c>
      <c r="N3" s="189" t="s">
        <v>208</v>
      </c>
      <c r="O3" s="187" t="s">
        <v>209</v>
      </c>
    </row>
    <row r="4" spans="1:15" ht="26.25" thickBot="1">
      <c r="A4" s="190" t="s">
        <v>210</v>
      </c>
      <c r="B4" s="191" t="s">
        <v>211</v>
      </c>
      <c r="C4" s="192" t="s">
        <v>212</v>
      </c>
      <c r="D4" s="193" t="s">
        <v>213</v>
      </c>
      <c r="E4" s="194"/>
      <c r="F4" s="195" t="s">
        <v>214</v>
      </c>
      <c r="G4" s="196" t="s">
        <v>215</v>
      </c>
      <c r="H4" s="196" t="s">
        <v>216</v>
      </c>
      <c r="I4" s="197"/>
      <c r="J4" s="194"/>
      <c r="K4" s="194"/>
      <c r="L4" s="194"/>
      <c r="M4" s="198"/>
      <c r="N4" s="194"/>
      <c r="O4" s="199">
        <v>5331</v>
      </c>
    </row>
    <row r="5" spans="1:16" s="111" customFormat="1" ht="14.25" customHeight="1" thickBot="1">
      <c r="A5" s="425"/>
      <c r="B5" s="437" t="s">
        <v>327</v>
      </c>
      <c r="C5" s="427">
        <v>9702</v>
      </c>
      <c r="D5" s="427">
        <v>51777.37</v>
      </c>
      <c r="E5" s="428">
        <f aca="true" t="shared" si="0" ref="E5:E13">SUM(C5:D5)</f>
        <v>61479.37</v>
      </c>
      <c r="F5" s="427">
        <v>21588.854</v>
      </c>
      <c r="G5" s="427">
        <v>194.04</v>
      </c>
      <c r="H5" s="427">
        <v>27276.537</v>
      </c>
      <c r="I5" s="428"/>
      <c r="J5" s="427">
        <f aca="true" t="shared" si="1" ref="J5:J13">SUM(H5:I5)</f>
        <v>27276.537</v>
      </c>
      <c r="K5" s="427">
        <f aca="true" t="shared" si="2" ref="K5:K13">SUM(F5,G5,J5)</f>
        <v>49059.431</v>
      </c>
      <c r="L5" s="427">
        <f aca="true" t="shared" si="3" ref="L5:L13">SUM(E5,K5)</f>
        <v>110538.801</v>
      </c>
      <c r="M5" s="427"/>
      <c r="N5" s="427">
        <f aca="true" t="shared" si="4" ref="N5:N13">SUM(L5,M5)</f>
        <v>110538.801</v>
      </c>
      <c r="O5" s="429"/>
      <c r="P5"/>
    </row>
    <row r="6" spans="1:15" ht="14.25" customHeight="1" thickBot="1">
      <c r="A6" s="425"/>
      <c r="B6" s="437" t="s">
        <v>397</v>
      </c>
      <c r="C6" s="430">
        <v>0</v>
      </c>
      <c r="D6" s="431">
        <v>0</v>
      </c>
      <c r="E6" s="428">
        <f t="shared" si="0"/>
        <v>0</v>
      </c>
      <c r="F6" s="431">
        <v>0</v>
      </c>
      <c r="G6" s="431">
        <v>0</v>
      </c>
      <c r="H6" s="431">
        <v>20.1</v>
      </c>
      <c r="I6" s="432"/>
      <c r="J6" s="427">
        <f t="shared" si="1"/>
        <v>20.1</v>
      </c>
      <c r="K6" s="427">
        <f t="shared" si="2"/>
        <v>20.1</v>
      </c>
      <c r="L6" s="427">
        <f t="shared" si="3"/>
        <v>20.1</v>
      </c>
      <c r="M6" s="427"/>
      <c r="N6" s="427">
        <f t="shared" si="4"/>
        <v>20.1</v>
      </c>
      <c r="O6" s="433"/>
    </row>
    <row r="7" spans="1:15" ht="14.25" customHeight="1" thickBot="1">
      <c r="A7" s="425"/>
      <c r="B7" s="437" t="s">
        <v>328</v>
      </c>
      <c r="C7" s="430">
        <v>4986.065</v>
      </c>
      <c r="D7" s="431">
        <v>4548.7</v>
      </c>
      <c r="E7" s="428">
        <f t="shared" si="0"/>
        <v>9534.765</v>
      </c>
      <c r="F7" s="431">
        <v>1780.336</v>
      </c>
      <c r="G7" s="431">
        <v>99.602</v>
      </c>
      <c r="H7" s="431">
        <v>13559.645000000002</v>
      </c>
      <c r="I7" s="432"/>
      <c r="J7" s="427">
        <f t="shared" si="1"/>
        <v>13559.645000000002</v>
      </c>
      <c r="K7" s="427">
        <f t="shared" si="2"/>
        <v>15439.583000000002</v>
      </c>
      <c r="L7" s="427">
        <f t="shared" si="3"/>
        <v>24974.348</v>
      </c>
      <c r="M7" s="427"/>
      <c r="N7" s="427">
        <f t="shared" si="4"/>
        <v>24974.348</v>
      </c>
      <c r="O7" s="433">
        <v>4.53</v>
      </c>
    </row>
    <row r="8" spans="1:16" s="111" customFormat="1" ht="14.25" customHeight="1" thickBot="1">
      <c r="A8" s="425"/>
      <c r="B8" s="437" t="s">
        <v>329</v>
      </c>
      <c r="C8" s="427">
        <v>26973</v>
      </c>
      <c r="D8" s="427">
        <v>34328.577</v>
      </c>
      <c r="E8" s="428">
        <f t="shared" si="0"/>
        <v>61301.577</v>
      </c>
      <c r="F8" s="427">
        <v>12241.423</v>
      </c>
      <c r="G8" s="427">
        <v>539</v>
      </c>
      <c r="H8" s="427">
        <v>62586</v>
      </c>
      <c r="I8" s="428"/>
      <c r="J8" s="427">
        <f t="shared" si="1"/>
        <v>62586</v>
      </c>
      <c r="K8" s="427">
        <f t="shared" si="2"/>
        <v>75366.423</v>
      </c>
      <c r="L8" s="427">
        <f t="shared" si="3"/>
        <v>136668</v>
      </c>
      <c r="M8" s="427"/>
      <c r="N8" s="427">
        <f t="shared" si="4"/>
        <v>136668</v>
      </c>
      <c r="O8" s="429">
        <v>57.39</v>
      </c>
      <c r="P8"/>
    </row>
    <row r="9" spans="1:16" s="178" customFormat="1" ht="14.25" customHeight="1" thickBot="1">
      <c r="A9" s="425"/>
      <c r="B9" s="437" t="s">
        <v>330</v>
      </c>
      <c r="C9" s="430">
        <v>13555</v>
      </c>
      <c r="D9" s="434">
        <v>6379</v>
      </c>
      <c r="E9" s="428">
        <f t="shared" si="0"/>
        <v>19934</v>
      </c>
      <c r="F9" s="435">
        <v>5713.599</v>
      </c>
      <c r="G9" s="431">
        <v>271.1</v>
      </c>
      <c r="H9" s="431">
        <v>10729</v>
      </c>
      <c r="I9" s="436"/>
      <c r="J9" s="427">
        <f t="shared" si="1"/>
        <v>10729</v>
      </c>
      <c r="K9" s="427">
        <f t="shared" si="2"/>
        <v>16713.699</v>
      </c>
      <c r="L9" s="427">
        <f t="shared" si="3"/>
        <v>36647.699</v>
      </c>
      <c r="M9" s="427"/>
      <c r="N9" s="427">
        <f t="shared" si="4"/>
        <v>36647.699</v>
      </c>
      <c r="O9" s="429">
        <v>26.9</v>
      </c>
      <c r="P9"/>
    </row>
    <row r="10" spans="1:16" s="178" customFormat="1" ht="14.25" customHeight="1" thickBot="1">
      <c r="A10" s="425"/>
      <c r="B10" s="437" t="s">
        <v>331</v>
      </c>
      <c r="C10" s="430">
        <v>20027</v>
      </c>
      <c r="D10" s="434">
        <v>6918</v>
      </c>
      <c r="E10" s="428">
        <f t="shared" si="0"/>
        <v>26945</v>
      </c>
      <c r="F10" s="435">
        <v>8540.46</v>
      </c>
      <c r="G10" s="431">
        <v>400.54</v>
      </c>
      <c r="H10" s="431">
        <v>29629.731</v>
      </c>
      <c r="I10" s="436"/>
      <c r="J10" s="427">
        <f t="shared" si="1"/>
        <v>29629.731</v>
      </c>
      <c r="K10" s="427">
        <f t="shared" si="2"/>
        <v>38570.731</v>
      </c>
      <c r="L10" s="427">
        <f t="shared" si="3"/>
        <v>65515.731</v>
      </c>
      <c r="M10" s="427"/>
      <c r="N10" s="427">
        <f t="shared" si="4"/>
        <v>65515.731</v>
      </c>
      <c r="O10" s="429">
        <v>41</v>
      </c>
      <c r="P10"/>
    </row>
    <row r="11" spans="1:15" ht="14.25" customHeight="1" thickBot="1">
      <c r="A11" s="425"/>
      <c r="B11" s="437" t="s">
        <v>332</v>
      </c>
      <c r="C11" s="430">
        <v>7375</v>
      </c>
      <c r="D11" s="434">
        <v>14644</v>
      </c>
      <c r="E11" s="428">
        <f t="shared" si="0"/>
        <v>22019</v>
      </c>
      <c r="F11" s="435">
        <v>4484.5</v>
      </c>
      <c r="G11" s="431">
        <v>147.5</v>
      </c>
      <c r="H11" s="431">
        <v>19188.246</v>
      </c>
      <c r="I11" s="432"/>
      <c r="J11" s="427">
        <f t="shared" si="1"/>
        <v>19188.246</v>
      </c>
      <c r="K11" s="427">
        <f t="shared" si="2"/>
        <v>23820.246</v>
      </c>
      <c r="L11" s="427">
        <f t="shared" si="3"/>
        <v>45839.246</v>
      </c>
      <c r="M11" s="427"/>
      <c r="N11" s="427">
        <f t="shared" si="4"/>
        <v>45839.246</v>
      </c>
      <c r="O11" s="429">
        <v>16.64</v>
      </c>
    </row>
    <row r="12" spans="1:15" ht="14.25" customHeight="1" thickBot="1">
      <c r="A12" s="425"/>
      <c r="B12" s="437" t="s">
        <v>356</v>
      </c>
      <c r="C12" s="430">
        <v>18139</v>
      </c>
      <c r="D12" s="434">
        <v>38953</v>
      </c>
      <c r="E12" s="428">
        <f t="shared" si="0"/>
        <v>57092</v>
      </c>
      <c r="F12" s="435">
        <v>7589.22</v>
      </c>
      <c r="G12" s="431">
        <v>362.78</v>
      </c>
      <c r="H12" s="431">
        <v>50277.241</v>
      </c>
      <c r="I12" s="432"/>
      <c r="J12" s="427">
        <f t="shared" si="1"/>
        <v>50277.241</v>
      </c>
      <c r="K12" s="427">
        <f t="shared" si="2"/>
        <v>58229.241</v>
      </c>
      <c r="L12" s="427">
        <f t="shared" si="3"/>
        <v>115321.24100000001</v>
      </c>
      <c r="M12" s="427"/>
      <c r="N12" s="427">
        <f t="shared" si="4"/>
        <v>115321.24100000001</v>
      </c>
      <c r="O12" s="429">
        <v>33.4</v>
      </c>
    </row>
    <row r="13" spans="1:16" s="111" customFormat="1" ht="14.25" customHeight="1" thickBot="1">
      <c r="A13" s="425"/>
      <c r="B13" s="437" t="s">
        <v>333</v>
      </c>
      <c r="C13" s="430">
        <v>0</v>
      </c>
      <c r="D13" s="434">
        <v>0</v>
      </c>
      <c r="E13" s="428">
        <f t="shared" si="0"/>
        <v>0</v>
      </c>
      <c r="F13" s="435">
        <v>0</v>
      </c>
      <c r="G13" s="431">
        <v>0</v>
      </c>
      <c r="H13" s="431">
        <v>83.61</v>
      </c>
      <c r="I13" s="432"/>
      <c r="J13" s="427">
        <f t="shared" si="1"/>
        <v>83.61</v>
      </c>
      <c r="K13" s="427">
        <f t="shared" si="2"/>
        <v>83.61</v>
      </c>
      <c r="L13" s="427">
        <f t="shared" si="3"/>
        <v>83.61</v>
      </c>
      <c r="M13" s="427"/>
      <c r="N13" s="427">
        <f t="shared" si="4"/>
        <v>83.61</v>
      </c>
      <c r="O13" s="429"/>
      <c r="P13"/>
    </row>
    <row r="14" spans="1:15" ht="17.25" customHeight="1" thickBot="1">
      <c r="A14" s="251"/>
      <c r="B14" s="426" t="s">
        <v>270</v>
      </c>
      <c r="C14" s="431">
        <f aca="true" t="shared" si="5" ref="C14:O14">C5+C6+C7+C8+C9+C10+C11+C12+C13</f>
        <v>100757.065</v>
      </c>
      <c r="D14" s="431">
        <f t="shared" si="5"/>
        <v>157548.647</v>
      </c>
      <c r="E14" s="431">
        <f t="shared" si="5"/>
        <v>258305.712</v>
      </c>
      <c r="F14" s="431">
        <f t="shared" si="5"/>
        <v>61938.392</v>
      </c>
      <c r="G14" s="431">
        <f t="shared" si="5"/>
        <v>2014.5620000000001</v>
      </c>
      <c r="H14" s="431">
        <f t="shared" si="5"/>
        <v>213350.11000000002</v>
      </c>
      <c r="I14" s="436">
        <f t="shared" si="5"/>
        <v>0</v>
      </c>
      <c r="J14" s="431">
        <f t="shared" si="5"/>
        <v>213350.11000000002</v>
      </c>
      <c r="K14" s="431">
        <f t="shared" si="5"/>
        <v>277303.06399999995</v>
      </c>
      <c r="L14" s="431">
        <f t="shared" si="5"/>
        <v>535608.776</v>
      </c>
      <c r="M14" s="436">
        <f t="shared" si="5"/>
        <v>0</v>
      </c>
      <c r="N14" s="431">
        <f t="shared" si="5"/>
        <v>535608.776</v>
      </c>
      <c r="O14" s="433">
        <f t="shared" si="5"/>
        <v>179.85999999999999</v>
      </c>
    </row>
  </sheetData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I24"/>
  <sheetViews>
    <sheetView zoomScale="72" zoomScaleNormal="72" workbookViewId="0" topLeftCell="A2">
      <pane xSplit="1" ySplit="7" topLeftCell="B9" activePane="bottomRight" state="frozen"/>
      <selection pane="topLeft" activeCell="A2" sqref="A2"/>
      <selection pane="topRight" activeCell="B2" sqref="B2"/>
      <selection pane="bottomLeft" activeCell="A8" sqref="A8"/>
      <selection pane="bottomRight" activeCell="H19" sqref="H19"/>
    </sheetView>
  </sheetViews>
  <sheetFormatPr defaultColWidth="9.140625" defaultRowHeight="12.75"/>
  <cols>
    <col min="1" max="1" width="18.140625" style="144" customWidth="1"/>
    <col min="2" max="2" width="12.7109375" style="144" customWidth="1"/>
    <col min="3" max="3" width="11.8515625" style="144" customWidth="1"/>
    <col min="4" max="4" width="12.8515625" style="144" customWidth="1"/>
    <col min="5" max="5" width="10.8515625" style="144" customWidth="1"/>
    <col min="6" max="16384" width="9.140625" style="144" customWidth="1"/>
  </cols>
  <sheetData>
    <row r="2" spans="1:5" ht="15.75">
      <c r="A2" s="145"/>
      <c r="D2" s="179" t="s">
        <v>194</v>
      </c>
      <c r="E2" s="39"/>
    </row>
    <row r="4" ht="15.75">
      <c r="A4" s="147" t="s">
        <v>342</v>
      </c>
    </row>
    <row r="5" ht="15.75">
      <c r="A5" s="147"/>
    </row>
    <row r="6" spans="1:5" ht="16.5" thickBot="1">
      <c r="A6" s="147"/>
      <c r="E6" s="148" t="s">
        <v>1</v>
      </c>
    </row>
    <row r="7" spans="1:5" ht="75.75" customHeight="1" thickBot="1">
      <c r="A7" s="346"/>
      <c r="B7" s="347" t="s">
        <v>195</v>
      </c>
      <c r="C7" s="348" t="s">
        <v>196</v>
      </c>
      <c r="D7" s="348" t="s">
        <v>334</v>
      </c>
      <c r="E7" s="349" t="s">
        <v>184</v>
      </c>
    </row>
    <row r="8" spans="1:5" ht="15.75" thickBot="1">
      <c r="A8" s="350"/>
      <c r="B8" s="351" t="s">
        <v>189</v>
      </c>
      <c r="C8" s="352" t="s">
        <v>190</v>
      </c>
      <c r="D8" s="352" t="s">
        <v>191</v>
      </c>
      <c r="E8" s="353" t="s">
        <v>192</v>
      </c>
    </row>
    <row r="9" spans="1:5" ht="15">
      <c r="A9" s="354" t="s">
        <v>4</v>
      </c>
      <c r="B9" s="438">
        <f>UR09!N13</f>
        <v>130580.801</v>
      </c>
      <c r="C9" s="377">
        <f>'HV-HC orig'!D38+'HV-HC orig'!D67</f>
        <v>82814.73</v>
      </c>
      <c r="D9" s="377">
        <f aca="true" t="shared" si="0" ref="D9:D23">B9-C9</f>
        <v>47766.07100000001</v>
      </c>
      <c r="E9" s="378">
        <f aca="true" t="shared" si="1" ref="E9:E24">(C9/B9)*100</f>
        <v>63.4202956068557</v>
      </c>
    </row>
    <row r="10" spans="1:7" ht="15">
      <c r="A10" s="355" t="s">
        <v>5</v>
      </c>
      <c r="B10" s="439">
        <f>UR09!N27</f>
        <v>185894</v>
      </c>
      <c r="C10" s="379">
        <f>'HV-HC orig'!E38+'HV-HC orig'!E67</f>
        <v>662103.9199999999</v>
      </c>
      <c r="D10" s="379">
        <f t="shared" si="0"/>
        <v>-476209.9199999999</v>
      </c>
      <c r="E10" s="378">
        <f t="shared" si="1"/>
        <v>356.17282967712777</v>
      </c>
      <c r="G10" s="149"/>
    </row>
    <row r="11" spans="1:5" ht="15">
      <c r="A11" s="355" t="s">
        <v>6</v>
      </c>
      <c r="B11" s="439">
        <f>UR09!N30</f>
        <v>10032.1</v>
      </c>
      <c r="C11" s="379">
        <f>'HV-HC orig'!F38+'HV-HC orig'!F67</f>
        <v>9173.839999999998</v>
      </c>
      <c r="D11" s="379">
        <f t="shared" si="0"/>
        <v>858.260000000002</v>
      </c>
      <c r="E11" s="378">
        <f t="shared" si="1"/>
        <v>91.44486199300245</v>
      </c>
    </row>
    <row r="12" spans="1:5" ht="15">
      <c r="A12" s="355" t="s">
        <v>7</v>
      </c>
      <c r="B12" s="439">
        <f>UR09!N40</f>
        <v>132207.348</v>
      </c>
      <c r="C12" s="379">
        <f>'HV-HC orig'!G38+'HV-HC orig'!G67</f>
        <v>114348.87999999998</v>
      </c>
      <c r="D12" s="379">
        <f t="shared" si="0"/>
        <v>17858.468000000023</v>
      </c>
      <c r="E12" s="378">
        <f t="shared" si="1"/>
        <v>86.49207606826815</v>
      </c>
    </row>
    <row r="13" spans="1:5" ht="15">
      <c r="A13" s="355" t="s">
        <v>8</v>
      </c>
      <c r="B13" s="439">
        <f>UR09!N46</f>
        <v>192864</v>
      </c>
      <c r="C13" s="379">
        <f>'HV-HC orig'!H38+'HV-HC orig'!H67</f>
        <v>95664.33</v>
      </c>
      <c r="D13" s="379">
        <f t="shared" si="0"/>
        <v>97199.67</v>
      </c>
      <c r="E13" s="378">
        <f t="shared" si="1"/>
        <v>49.60196304131409</v>
      </c>
    </row>
    <row r="14" spans="1:5" ht="15">
      <c r="A14" s="355" t="s">
        <v>9</v>
      </c>
      <c r="B14" s="439">
        <f>UR09!N53</f>
        <v>78626.699</v>
      </c>
      <c r="C14" s="379">
        <f>'HV-HC orig'!I38+'HV-HC orig'!I67</f>
        <v>61489.579999999994</v>
      </c>
      <c r="D14" s="379">
        <f t="shared" si="0"/>
        <v>17137.119</v>
      </c>
      <c r="E14" s="378">
        <f t="shared" si="1"/>
        <v>78.20445317181635</v>
      </c>
    </row>
    <row r="15" spans="1:9" ht="15">
      <c r="A15" s="356" t="s">
        <v>10</v>
      </c>
      <c r="B15" s="439">
        <f>UR09!N59</f>
        <v>13511</v>
      </c>
      <c r="C15" s="379">
        <f>'HV-HC orig'!J38+'HV-HC orig'!J67</f>
        <v>13221.93</v>
      </c>
      <c r="D15" s="379">
        <f t="shared" si="0"/>
        <v>289.0699999999997</v>
      </c>
      <c r="E15" s="378">
        <f t="shared" si="1"/>
        <v>97.8604840500333</v>
      </c>
      <c r="I15" s="149"/>
    </row>
    <row r="16" spans="1:7" ht="15">
      <c r="A16" s="357" t="s">
        <v>11</v>
      </c>
      <c r="B16" s="439">
        <f>UR09!N67</f>
        <v>129553.731</v>
      </c>
      <c r="C16" s="379">
        <f>'HV-HC orig'!K38+'HV-HC orig'!K67</f>
        <v>144061.12000000002</v>
      </c>
      <c r="D16" s="379">
        <f t="shared" si="0"/>
        <v>-14507.389000000025</v>
      </c>
      <c r="E16" s="378">
        <f t="shared" si="1"/>
        <v>111.19797082493905</v>
      </c>
      <c r="G16" s="149"/>
    </row>
    <row r="17" spans="1:5" ht="15">
      <c r="A17" s="358" t="s">
        <v>343</v>
      </c>
      <c r="B17" s="439">
        <f>UR09!N75</f>
        <v>330855</v>
      </c>
      <c r="C17" s="379">
        <f>'HV-HC orig'!L38+'HV-HC orig'!L67</f>
        <v>252836.37000000002</v>
      </c>
      <c r="D17" s="379">
        <f t="shared" si="0"/>
        <v>78018.62999999998</v>
      </c>
      <c r="E17" s="378">
        <f t="shared" si="1"/>
        <v>76.41908691118466</v>
      </c>
    </row>
    <row r="18" spans="1:7" ht="15">
      <c r="A18" s="358" t="s">
        <v>12</v>
      </c>
      <c r="B18" s="439">
        <f>UR09!N78</f>
        <v>12666</v>
      </c>
      <c r="C18" s="379">
        <f>'HV-HC orig'!M38+'HV-HC orig'!M67</f>
        <v>13345.830000000002</v>
      </c>
      <c r="D18" s="379">
        <f t="shared" si="0"/>
        <v>-679.8300000000017</v>
      </c>
      <c r="E18" s="378">
        <f t="shared" si="1"/>
        <v>105.36736144007581</v>
      </c>
      <c r="G18" s="149"/>
    </row>
    <row r="19" spans="1:5" ht="15">
      <c r="A19" s="358" t="s">
        <v>13</v>
      </c>
      <c r="B19" s="439">
        <f>UR09!N82</f>
        <v>134762.24599999998</v>
      </c>
      <c r="C19" s="379">
        <f>'HV-HC orig'!N38+'HV-HC orig'!N67</f>
        <v>125440.13</v>
      </c>
      <c r="D19" s="379">
        <f t="shared" si="0"/>
        <v>9322.11599999998</v>
      </c>
      <c r="E19" s="378">
        <f t="shared" si="1"/>
        <v>93.08254627931922</v>
      </c>
    </row>
    <row r="20" spans="1:5" ht="15">
      <c r="A20" s="358" t="s">
        <v>344</v>
      </c>
      <c r="B20" s="439">
        <f>UR09!N87</f>
        <v>192347.241</v>
      </c>
      <c r="C20" s="379">
        <f>'HV-HC orig'!O38+'HV-HC orig'!O67</f>
        <v>96924.37999999999</v>
      </c>
      <c r="D20" s="379">
        <f>B20-C20</f>
        <v>95422.86100000002</v>
      </c>
      <c r="E20" s="378">
        <f>(C20/B20)*100</f>
        <v>50.39031467053899</v>
      </c>
    </row>
    <row r="21" spans="1:5" ht="15">
      <c r="A21" s="358" t="s">
        <v>28</v>
      </c>
      <c r="B21" s="439">
        <f>UR09!N89</f>
        <v>6433</v>
      </c>
      <c r="C21" s="379">
        <f>'HV-HC orig'!P38+'HV-HC orig'!P67</f>
        <v>6236.28</v>
      </c>
      <c r="D21" s="379">
        <f t="shared" si="0"/>
        <v>196.72000000000025</v>
      </c>
      <c r="E21" s="378">
        <f t="shared" si="1"/>
        <v>96.94201772112544</v>
      </c>
    </row>
    <row r="22" spans="1:5" ht="15">
      <c r="A22" s="358" t="s">
        <v>15</v>
      </c>
      <c r="B22" s="440">
        <f>UR09!N92</f>
        <v>10033.61</v>
      </c>
      <c r="C22" s="380">
        <f>'HV-HC orig'!Q38+'HV-HC orig'!Q67</f>
        <v>5241.3</v>
      </c>
      <c r="D22" s="380">
        <f t="shared" si="0"/>
        <v>4792.31</v>
      </c>
      <c r="E22" s="378">
        <f t="shared" si="1"/>
        <v>52.237429997777475</v>
      </c>
    </row>
    <row r="23" spans="1:7" ht="15.75" thickBot="1">
      <c r="A23" s="359" t="s">
        <v>16</v>
      </c>
      <c r="B23" s="440">
        <f>UR09!N94</f>
        <v>13682</v>
      </c>
      <c r="C23" s="380">
        <f>'HV-HC orig'!R38+'HV-HC orig'!R67</f>
        <v>14896.78</v>
      </c>
      <c r="D23" s="380">
        <f t="shared" si="0"/>
        <v>-1214.7800000000007</v>
      </c>
      <c r="E23" s="381">
        <f t="shared" si="1"/>
        <v>108.87867270866833</v>
      </c>
      <c r="G23" s="149"/>
    </row>
    <row r="24" spans="1:5" ht="16.5" thickBot="1">
      <c r="A24" s="180" t="s">
        <v>23</v>
      </c>
      <c r="B24" s="267">
        <f>SUM(B9:B23)</f>
        <v>1574048.776</v>
      </c>
      <c r="C24" s="268">
        <f>SUM(C9:C23)</f>
        <v>1697799.4000000001</v>
      </c>
      <c r="D24" s="268">
        <f>SUM(D9:D23)</f>
        <v>-123750.62399999997</v>
      </c>
      <c r="E24" s="177">
        <f t="shared" si="1"/>
        <v>107.86193070296572</v>
      </c>
    </row>
  </sheetData>
  <printOptions horizontalCentered="1"/>
  <pageMargins left="0.984251968503937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31"/>
  <sheetViews>
    <sheetView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7" sqref="A27"/>
    </sheetView>
  </sheetViews>
  <sheetFormatPr defaultColWidth="9.140625" defaultRowHeight="12.75"/>
  <cols>
    <col min="1" max="1" width="19.8515625" style="144" customWidth="1"/>
    <col min="2" max="2" width="11.140625" style="144" customWidth="1"/>
    <col min="3" max="4" width="11.00390625" style="144" customWidth="1"/>
    <col min="5" max="5" width="9.28125" style="144" customWidth="1"/>
    <col min="6" max="6" width="10.140625" style="144" customWidth="1"/>
    <col min="7" max="7" width="11.00390625" style="144" customWidth="1"/>
    <col min="8" max="8" width="11.28125" style="144" customWidth="1"/>
    <col min="9" max="9" width="9.57421875" style="144" customWidth="1"/>
    <col min="10" max="10" width="9.28125" style="144" customWidth="1"/>
    <col min="11" max="11" width="11.00390625" style="144" customWidth="1"/>
    <col min="12" max="12" width="11.140625" style="144" customWidth="1"/>
    <col min="13" max="13" width="9.140625" style="144" customWidth="1"/>
    <col min="14" max="14" width="10.57421875" style="144" bestFit="1" customWidth="1"/>
    <col min="15" max="15" width="11.140625" style="144" customWidth="1"/>
    <col min="16" max="16" width="11.28125" style="144" customWidth="1"/>
    <col min="17" max="16384" width="9.140625" style="144" customWidth="1"/>
  </cols>
  <sheetData>
    <row r="1" ht="12.75">
      <c r="H1" s="39"/>
    </row>
    <row r="2" spans="1:17" ht="15.75">
      <c r="A2" s="145"/>
      <c r="Q2" s="146" t="s">
        <v>338</v>
      </c>
    </row>
    <row r="4" ht="15.75">
      <c r="A4" s="147" t="s">
        <v>345</v>
      </c>
    </row>
    <row r="5" ht="15.75">
      <c r="A5" s="147"/>
    </row>
    <row r="6" spans="1:17" ht="16.5" thickBot="1">
      <c r="A6" s="147"/>
      <c r="E6" s="148"/>
      <c r="H6" s="148"/>
      <c r="Q6" s="149" t="s">
        <v>1</v>
      </c>
    </row>
    <row r="7" spans="1:17" ht="51.75" thickBot="1">
      <c r="A7" s="150"/>
      <c r="B7" s="151" t="s">
        <v>181</v>
      </c>
      <c r="C7" s="335" t="s">
        <v>182</v>
      </c>
      <c r="D7" s="152" t="s">
        <v>183</v>
      </c>
      <c r="E7" s="153" t="s">
        <v>184</v>
      </c>
      <c r="F7" s="151" t="s">
        <v>185</v>
      </c>
      <c r="G7" s="335" t="s">
        <v>182</v>
      </c>
      <c r="H7" s="152" t="s">
        <v>186</v>
      </c>
      <c r="I7" s="153" t="s">
        <v>184</v>
      </c>
      <c r="J7" s="151" t="s">
        <v>187</v>
      </c>
      <c r="K7" s="335" t="s">
        <v>182</v>
      </c>
      <c r="L7" s="152" t="s">
        <v>186</v>
      </c>
      <c r="M7" s="153" t="s">
        <v>184</v>
      </c>
      <c r="N7" s="151" t="s">
        <v>188</v>
      </c>
      <c r="O7" s="152" t="s">
        <v>182</v>
      </c>
      <c r="P7" s="152" t="s">
        <v>186</v>
      </c>
      <c r="Q7" s="153" t="s">
        <v>184</v>
      </c>
    </row>
    <row r="8" spans="1:17" ht="13.5" thickBot="1">
      <c r="A8" s="154"/>
      <c r="B8" s="155" t="s">
        <v>189</v>
      </c>
      <c r="C8" s="336" t="s">
        <v>190</v>
      </c>
      <c r="D8" s="156" t="s">
        <v>191</v>
      </c>
      <c r="E8" s="157" t="s">
        <v>192</v>
      </c>
      <c r="F8" s="155" t="s">
        <v>189</v>
      </c>
      <c r="G8" s="336" t="s">
        <v>190</v>
      </c>
      <c r="H8" s="156" t="s">
        <v>191</v>
      </c>
      <c r="I8" s="157" t="s">
        <v>192</v>
      </c>
      <c r="J8" s="155" t="s">
        <v>189</v>
      </c>
      <c r="K8" s="336" t="s">
        <v>190</v>
      </c>
      <c r="L8" s="156" t="s">
        <v>191</v>
      </c>
      <c r="M8" s="157" t="s">
        <v>192</v>
      </c>
      <c r="N8" s="155" t="s">
        <v>189</v>
      </c>
      <c r="O8" s="156" t="s">
        <v>190</v>
      </c>
      <c r="P8" s="156" t="s">
        <v>191</v>
      </c>
      <c r="Q8" s="157" t="s">
        <v>192</v>
      </c>
    </row>
    <row r="9" spans="1:17" ht="12.75">
      <c r="A9" s="158" t="s">
        <v>4</v>
      </c>
      <c r="B9" s="159">
        <f>UR09!F13</f>
        <v>24612.854</v>
      </c>
      <c r="C9" s="337">
        <f>'HV-HC orig'!D17+'HV-HC orig'!D18</f>
        <v>16202.48</v>
      </c>
      <c r="D9" s="160">
        <f aca="true" t="shared" si="0" ref="D9:D17">B9-C9</f>
        <v>8410.374</v>
      </c>
      <c r="E9" s="161">
        <f aca="true" t="shared" si="1" ref="E9:E17">(C9/B9)*100</f>
        <v>65.82934266785965</v>
      </c>
      <c r="F9" s="159">
        <f>UR09!G13</f>
        <v>306.03999999999996</v>
      </c>
      <c r="G9" s="337">
        <f>'HV-HC orig'!D19</f>
        <v>111.93</v>
      </c>
      <c r="H9" s="160">
        <f aca="true" t="shared" si="2" ref="H9:H17">F9-G9</f>
        <v>194.10999999999996</v>
      </c>
      <c r="I9" s="161">
        <f aca="true" t="shared" si="3" ref="I9:I17">(G9/F9)*100</f>
        <v>36.5736505032022</v>
      </c>
      <c r="J9" s="159">
        <f>UR09!J13+UR09!M13</f>
        <v>32313.537</v>
      </c>
      <c r="K9" s="337">
        <f>'HV-HC orig'!D38+'HV-HC orig'!D67-'HV-HC orig'!D16-'HV-HC orig'!D17-'HV-HC orig'!D18-'HV-HC orig'!D19</f>
        <v>12185.829999999998</v>
      </c>
      <c r="L9" s="160">
        <f aca="true" t="shared" si="4" ref="L9:L23">J9-K9</f>
        <v>20127.707000000002</v>
      </c>
      <c r="M9" s="161">
        <f aca="true" t="shared" si="5" ref="M9:M24">(K9/J9)*100</f>
        <v>37.71122300848712</v>
      </c>
      <c r="N9" s="159">
        <f aca="true" t="shared" si="6" ref="N9:N23">B9+F9+J9</f>
        <v>57232.431</v>
      </c>
      <c r="O9" s="160">
        <f aca="true" t="shared" si="7" ref="O9:O23">C9+G9+K9</f>
        <v>28500.239999999998</v>
      </c>
      <c r="P9" s="160">
        <f aca="true" t="shared" si="8" ref="P9:P23">N9-O9</f>
        <v>28732.191</v>
      </c>
      <c r="Q9" s="161">
        <f aca="true" t="shared" si="9" ref="Q9:Q24">(O9/N9)*100</f>
        <v>49.79736052099552</v>
      </c>
    </row>
    <row r="10" spans="1:17" ht="12.75">
      <c r="A10" s="162" t="s">
        <v>5</v>
      </c>
      <c r="B10" s="163">
        <f>UR09!F27</f>
        <v>11256</v>
      </c>
      <c r="C10" s="338">
        <f>'HV-HC orig'!E17+'HV-HC orig'!E18</f>
        <v>13616.23</v>
      </c>
      <c r="D10" s="164">
        <f t="shared" si="0"/>
        <v>-2360.2299999999996</v>
      </c>
      <c r="E10" s="161">
        <f t="shared" si="1"/>
        <v>120.96863894811656</v>
      </c>
      <c r="F10" s="163">
        <f>UR09!G27</f>
        <v>611</v>
      </c>
      <c r="G10" s="338">
        <f>'HV-HC orig'!E19</f>
        <v>751.27</v>
      </c>
      <c r="H10" s="164">
        <f t="shared" si="2"/>
        <v>-140.26999999999998</v>
      </c>
      <c r="I10" s="161">
        <f t="shared" si="3"/>
        <v>122.95744680851064</v>
      </c>
      <c r="J10" s="163">
        <f>UR09!J27+UR09!M27</f>
        <v>140558</v>
      </c>
      <c r="K10" s="338">
        <f>'HV-HC orig'!E38+'HV-HC orig'!E67-'HV-HC orig'!E16-'HV-HC orig'!E17-'HV-HC orig'!E18-'HV-HC orig'!E19</f>
        <v>604222.1099999999</v>
      </c>
      <c r="L10" s="164">
        <f t="shared" si="4"/>
        <v>-463664.10999999987</v>
      </c>
      <c r="M10" s="161">
        <f t="shared" si="5"/>
        <v>429.87386701575144</v>
      </c>
      <c r="N10" s="163">
        <f t="shared" si="6"/>
        <v>152425</v>
      </c>
      <c r="O10" s="164">
        <f t="shared" si="7"/>
        <v>618589.6099999999</v>
      </c>
      <c r="P10" s="164">
        <f t="shared" si="8"/>
        <v>-466164.60999999987</v>
      </c>
      <c r="Q10" s="161">
        <f t="shared" si="9"/>
        <v>405.83212071510565</v>
      </c>
    </row>
    <row r="11" spans="1:17" ht="12.75">
      <c r="A11" s="162" t="s">
        <v>6</v>
      </c>
      <c r="B11" s="163">
        <f>UR09!F30</f>
        <v>739</v>
      </c>
      <c r="C11" s="338">
        <f>'HV-HC orig'!F17+'HV-HC orig'!F18</f>
        <v>708.71</v>
      </c>
      <c r="D11" s="164">
        <f t="shared" si="0"/>
        <v>30.289999999999964</v>
      </c>
      <c r="E11" s="161">
        <f t="shared" si="1"/>
        <v>95.90121786197565</v>
      </c>
      <c r="F11" s="163">
        <f>UR09!G30</f>
        <v>44</v>
      </c>
      <c r="G11" s="338">
        <f>'HV-HC orig'!F19</f>
        <v>44.11</v>
      </c>
      <c r="H11" s="164">
        <f t="shared" si="2"/>
        <v>-0.10999999999999943</v>
      </c>
      <c r="I11" s="161">
        <f t="shared" si="3"/>
        <v>100.25</v>
      </c>
      <c r="J11" s="163">
        <f>UR09!J30+UR09!M30</f>
        <v>6871.1</v>
      </c>
      <c r="K11" s="338">
        <f>'HV-HC orig'!F38+'HV-HC orig'!F67-'HV-HC orig'!F16-'HV-HC orig'!F17-'HV-HC orig'!F18-'HV-HC orig'!F19</f>
        <v>6008.279999999999</v>
      </c>
      <c r="L11" s="164">
        <f t="shared" si="4"/>
        <v>862.8200000000015</v>
      </c>
      <c r="M11" s="161">
        <f t="shared" si="5"/>
        <v>87.44276753358267</v>
      </c>
      <c r="N11" s="163">
        <f t="shared" si="6"/>
        <v>7654.1</v>
      </c>
      <c r="O11" s="164">
        <f t="shared" si="7"/>
        <v>6761.0999999999985</v>
      </c>
      <c r="P11" s="164">
        <f t="shared" si="8"/>
        <v>893.0000000000018</v>
      </c>
      <c r="Q11" s="161">
        <f t="shared" si="9"/>
        <v>88.3330502606446</v>
      </c>
    </row>
    <row r="12" spans="1:17" ht="12.75">
      <c r="A12" s="162" t="s">
        <v>7</v>
      </c>
      <c r="B12" s="163">
        <f>UR09!F40</f>
        <v>18081.336</v>
      </c>
      <c r="C12" s="338">
        <f>'HV-HC orig'!G17+'HV-HC orig'!G18</f>
        <v>17125.93</v>
      </c>
      <c r="D12" s="164">
        <f t="shared" si="0"/>
        <v>955.405999999999</v>
      </c>
      <c r="E12" s="161">
        <f t="shared" si="1"/>
        <v>94.71606522880832</v>
      </c>
      <c r="F12" s="163">
        <f>UR09!G40</f>
        <v>1044.6019999999999</v>
      </c>
      <c r="G12" s="338">
        <f>'HV-HC orig'!G19</f>
        <v>992.98</v>
      </c>
      <c r="H12" s="164">
        <f t="shared" si="2"/>
        <v>51.621999999999844</v>
      </c>
      <c r="I12" s="161">
        <f t="shared" si="3"/>
        <v>95.05821355884827</v>
      </c>
      <c r="J12" s="163">
        <f>UR09!J40+UR09!M40</f>
        <v>52667.645000000004</v>
      </c>
      <c r="K12" s="338">
        <f>'HV-HC orig'!G38+'HV-HC orig'!G67-'HV-HC orig'!G16-'HV-HC orig'!G17-'HV-HC orig'!G18-'HV-HC orig'!G19</f>
        <v>40746.66999999997</v>
      </c>
      <c r="L12" s="164">
        <f t="shared" si="4"/>
        <v>11920.975000000035</v>
      </c>
      <c r="M12" s="161">
        <f t="shared" si="5"/>
        <v>77.36565779616681</v>
      </c>
      <c r="N12" s="163">
        <f t="shared" si="6"/>
        <v>71793.583</v>
      </c>
      <c r="O12" s="164">
        <f t="shared" si="7"/>
        <v>58865.57999999997</v>
      </c>
      <c r="P12" s="164">
        <f t="shared" si="8"/>
        <v>12928.003000000026</v>
      </c>
      <c r="Q12" s="161">
        <f t="shared" si="9"/>
        <v>81.99281543031496</v>
      </c>
    </row>
    <row r="13" spans="1:17" ht="12.75">
      <c r="A13" s="162" t="s">
        <v>8</v>
      </c>
      <c r="B13" s="163">
        <f>UR09!F46</f>
        <v>21438.423000000003</v>
      </c>
      <c r="C13" s="338">
        <f>'HV-HC orig'!H17+'HV-HC orig'!H18</f>
        <v>17391.58</v>
      </c>
      <c r="D13" s="164">
        <f t="shared" si="0"/>
        <v>4046.8430000000008</v>
      </c>
      <c r="E13" s="161">
        <f t="shared" si="1"/>
        <v>81.12341098969826</v>
      </c>
      <c r="F13" s="163">
        <f>UR09!G46</f>
        <v>1045</v>
      </c>
      <c r="G13" s="338">
        <f>'HV-HC orig'!H19</f>
        <v>894.44</v>
      </c>
      <c r="H13" s="164">
        <f t="shared" si="2"/>
        <v>150.55999999999995</v>
      </c>
      <c r="I13" s="161">
        <f t="shared" si="3"/>
        <v>85.59234449760767</v>
      </c>
      <c r="J13" s="163">
        <f>UR09!J46+UR09!M46</f>
        <v>80871</v>
      </c>
      <c r="K13" s="338">
        <f>'HV-HC orig'!H38+'HV-HC orig'!H67-'HV-HC orig'!H16-'HV-HC orig'!H17-'HV-HC orig'!H18-'HV-HC orig'!H19</f>
        <v>20652.820000000003</v>
      </c>
      <c r="L13" s="164">
        <f t="shared" si="4"/>
        <v>60218.17999999999</v>
      </c>
      <c r="M13" s="161">
        <f t="shared" si="5"/>
        <v>25.53798024013553</v>
      </c>
      <c r="N13" s="163">
        <f t="shared" si="6"/>
        <v>103354.42300000001</v>
      </c>
      <c r="O13" s="164">
        <f t="shared" si="7"/>
        <v>38938.840000000004</v>
      </c>
      <c r="P13" s="164">
        <f t="shared" si="8"/>
        <v>64415.583000000006</v>
      </c>
      <c r="Q13" s="161">
        <f t="shared" si="9"/>
        <v>37.675059150589036</v>
      </c>
    </row>
    <row r="14" spans="1:17" ht="12.75">
      <c r="A14" s="162" t="s">
        <v>9</v>
      </c>
      <c r="B14" s="163">
        <f>UR09!F53</f>
        <v>11064.599</v>
      </c>
      <c r="C14" s="338">
        <f>'HV-HC orig'!I17+'HV-HC orig'!I18</f>
        <v>9448.73</v>
      </c>
      <c r="D14" s="164">
        <f t="shared" si="0"/>
        <v>1615.8690000000006</v>
      </c>
      <c r="E14" s="161">
        <f t="shared" si="1"/>
        <v>85.39604553224206</v>
      </c>
      <c r="F14" s="163">
        <f>UR09!G53</f>
        <v>570.1</v>
      </c>
      <c r="G14" s="338">
        <f>'HV-HC orig'!I19</f>
        <v>503.29</v>
      </c>
      <c r="H14" s="164">
        <f t="shared" si="2"/>
        <v>66.81</v>
      </c>
      <c r="I14" s="161">
        <f t="shared" si="3"/>
        <v>88.28100333274864</v>
      </c>
      <c r="J14" s="163">
        <f>UR09!J53+UR09!M53</f>
        <v>26612</v>
      </c>
      <c r="K14" s="338">
        <f>'HV-HC orig'!I38+'HV-HC orig'!I67-'HV-HC orig'!I16-'HV-HC orig'!I17-'HV-HC orig'!I18-'HV-HC orig'!I19</f>
        <v>17393.349999999995</v>
      </c>
      <c r="L14" s="164">
        <f t="shared" si="4"/>
        <v>9218.650000000005</v>
      </c>
      <c r="M14" s="161">
        <f t="shared" si="5"/>
        <v>65.3590485495265</v>
      </c>
      <c r="N14" s="163">
        <f t="shared" si="6"/>
        <v>38246.699</v>
      </c>
      <c r="O14" s="164">
        <f t="shared" si="7"/>
        <v>27345.369999999995</v>
      </c>
      <c r="P14" s="164">
        <f t="shared" si="8"/>
        <v>10901.329000000005</v>
      </c>
      <c r="Q14" s="161">
        <f t="shared" si="9"/>
        <v>71.4973336653184</v>
      </c>
    </row>
    <row r="15" spans="1:17" ht="12.75">
      <c r="A15" s="165" t="s">
        <v>10</v>
      </c>
      <c r="B15" s="163">
        <f>UR09!F59</f>
        <v>1790</v>
      </c>
      <c r="C15" s="338">
        <f>'HV-HC orig'!J17+'HV-HC orig'!J18</f>
        <v>1691.97</v>
      </c>
      <c r="D15" s="167">
        <f t="shared" si="0"/>
        <v>98.02999999999997</v>
      </c>
      <c r="E15" s="161">
        <f t="shared" si="1"/>
        <v>94.52346368715084</v>
      </c>
      <c r="F15" s="163">
        <f>UR09!G59</f>
        <v>91</v>
      </c>
      <c r="G15" s="338">
        <f>'HV-HC orig'!J19</f>
        <v>91.08</v>
      </c>
      <c r="H15" s="167">
        <f t="shared" si="2"/>
        <v>-0.0799999999999983</v>
      </c>
      <c r="I15" s="161">
        <f t="shared" si="3"/>
        <v>100.08791208791207</v>
      </c>
      <c r="J15" s="163">
        <f>UR09!J59+UR09!M59</f>
        <v>6227</v>
      </c>
      <c r="K15" s="338">
        <f>'HV-HC orig'!J38+'HV-HC orig'!J67-'HV-HC orig'!J16-'HV-HC orig'!J17-'HV-HC orig'!J18-'HV-HC orig'!J19</f>
        <v>6035.88</v>
      </c>
      <c r="L15" s="167">
        <f t="shared" si="4"/>
        <v>191.1199999999999</v>
      </c>
      <c r="M15" s="161">
        <f t="shared" si="5"/>
        <v>96.93078528986672</v>
      </c>
      <c r="N15" s="166">
        <f t="shared" si="6"/>
        <v>8108</v>
      </c>
      <c r="O15" s="167">
        <f t="shared" si="7"/>
        <v>7818.93</v>
      </c>
      <c r="P15" s="167">
        <f t="shared" si="8"/>
        <v>289.0699999999997</v>
      </c>
      <c r="Q15" s="161">
        <f t="shared" si="9"/>
        <v>96.43475579674397</v>
      </c>
    </row>
    <row r="16" spans="1:17" ht="12.75">
      <c r="A16" s="168" t="s">
        <v>11</v>
      </c>
      <c r="B16" s="163">
        <f>UR09!F67</f>
        <v>13735.46</v>
      </c>
      <c r="C16" s="338">
        <f>'HV-HC orig'!K17+'HV-HC orig'!K18</f>
        <v>9667.04</v>
      </c>
      <c r="D16" s="167">
        <f t="shared" si="0"/>
        <v>4068.4199999999983</v>
      </c>
      <c r="E16" s="161">
        <f t="shared" si="1"/>
        <v>70.38016928446518</v>
      </c>
      <c r="F16" s="163">
        <f>UR09!G67</f>
        <v>680.54</v>
      </c>
      <c r="G16" s="338">
        <f>'HV-HC orig'!K19</f>
        <v>546.69</v>
      </c>
      <c r="H16" s="167">
        <f t="shared" si="2"/>
        <v>133.8499999999999</v>
      </c>
      <c r="I16" s="161">
        <f t="shared" si="3"/>
        <v>80.33179533899552</v>
      </c>
      <c r="J16" s="163">
        <f>UR09!J67+UR09!M67</f>
        <v>68894.731</v>
      </c>
      <c r="K16" s="338">
        <f>'HV-HC orig'!K38+'HV-HC orig'!K67-'HV-HC orig'!K16-'HV-HC orig'!K17-'HV-HC orig'!K18-'HV-HC orig'!K19</f>
        <v>101825.83000000002</v>
      </c>
      <c r="L16" s="167">
        <f t="shared" si="4"/>
        <v>-32931.09900000002</v>
      </c>
      <c r="M16" s="161">
        <f t="shared" si="5"/>
        <v>147.79915462620795</v>
      </c>
      <c r="N16" s="166">
        <f t="shared" si="6"/>
        <v>83310.731</v>
      </c>
      <c r="O16" s="167">
        <f t="shared" si="7"/>
        <v>112039.56000000001</v>
      </c>
      <c r="P16" s="167">
        <f t="shared" si="8"/>
        <v>-28728.829000000012</v>
      </c>
      <c r="Q16" s="161">
        <f t="shared" si="9"/>
        <v>134.48394781219721</v>
      </c>
    </row>
    <row r="17" spans="1:17" ht="12.75">
      <c r="A17" s="169" t="s">
        <v>343</v>
      </c>
      <c r="B17" s="163">
        <f>UR09!F75</f>
        <v>13634</v>
      </c>
      <c r="C17" s="338">
        <f>'HV-HC orig'!L17+'HV-HC orig'!L18</f>
        <v>13126.74</v>
      </c>
      <c r="D17" s="167">
        <f t="shared" si="0"/>
        <v>507.2600000000002</v>
      </c>
      <c r="E17" s="161">
        <f t="shared" si="1"/>
        <v>96.27944843772922</v>
      </c>
      <c r="F17" s="163">
        <f>UR09!G75</f>
        <v>801</v>
      </c>
      <c r="G17" s="338">
        <f>'HV-HC orig'!L19</f>
        <v>807.1</v>
      </c>
      <c r="H17" s="167">
        <f t="shared" si="2"/>
        <v>-6.100000000000023</v>
      </c>
      <c r="I17" s="161">
        <f t="shared" si="3"/>
        <v>100.76154806491886</v>
      </c>
      <c r="J17" s="163">
        <f>UR09!J75+UR09!M75</f>
        <v>275805</v>
      </c>
      <c r="K17" s="338">
        <f>'HV-HC orig'!L38+'HV-HC orig'!L67-'HV-HC orig'!L16-'HV-HC orig'!L17-'HV-HC orig'!L18-'HV-HC orig'!L19</f>
        <v>197998.14000000004</v>
      </c>
      <c r="L17" s="167">
        <f t="shared" si="4"/>
        <v>77806.85999999996</v>
      </c>
      <c r="M17" s="161">
        <f t="shared" si="5"/>
        <v>71.78917713602003</v>
      </c>
      <c r="N17" s="166">
        <f t="shared" si="6"/>
        <v>290240</v>
      </c>
      <c r="O17" s="167">
        <f t="shared" si="7"/>
        <v>211931.98000000004</v>
      </c>
      <c r="P17" s="167">
        <f t="shared" si="8"/>
        <v>78308.01999999996</v>
      </c>
      <c r="Q17" s="161">
        <f t="shared" si="9"/>
        <v>73.01956312017643</v>
      </c>
    </row>
    <row r="18" spans="1:17" ht="12.75">
      <c r="A18" s="169" t="s">
        <v>12</v>
      </c>
      <c r="B18" s="163">
        <f>UR09!F78</f>
        <v>0</v>
      </c>
      <c r="C18" s="338">
        <f>'HV-HC orig'!M17+'HV-HC orig'!M18</f>
        <v>0</v>
      </c>
      <c r="D18" s="167">
        <f aca="true" t="shared" si="10" ref="D18:D23">B18-C18</f>
        <v>0</v>
      </c>
      <c r="E18" s="161"/>
      <c r="F18" s="163">
        <f>UR09!G78</f>
        <v>0</v>
      </c>
      <c r="G18" s="338">
        <f>'HV-HC orig'!M19</f>
        <v>0</v>
      </c>
      <c r="H18" s="167">
        <f aca="true" t="shared" si="11" ref="H18:H23">F18-G18</f>
        <v>0</v>
      </c>
      <c r="I18" s="161"/>
      <c r="J18" s="163">
        <f>UR09!J78+UR09!M78</f>
        <v>12666</v>
      </c>
      <c r="K18" s="338">
        <f>'HV-HC orig'!M38+'HV-HC orig'!M67-'HV-HC orig'!M16-'HV-HC orig'!M17-'HV-HC orig'!M18-'HV-HC orig'!M19</f>
        <v>13345.830000000002</v>
      </c>
      <c r="L18" s="167">
        <f t="shared" si="4"/>
        <v>-679.8300000000017</v>
      </c>
      <c r="M18" s="161">
        <f t="shared" si="5"/>
        <v>105.36736144007581</v>
      </c>
      <c r="N18" s="166">
        <f t="shared" si="6"/>
        <v>12666</v>
      </c>
      <c r="O18" s="167">
        <f t="shared" si="7"/>
        <v>13345.830000000002</v>
      </c>
      <c r="P18" s="167">
        <f t="shared" si="8"/>
        <v>-679.8300000000017</v>
      </c>
      <c r="Q18" s="161">
        <f t="shared" si="9"/>
        <v>105.36736144007581</v>
      </c>
    </row>
    <row r="19" spans="1:17" ht="12.75">
      <c r="A19" s="169" t="s">
        <v>13</v>
      </c>
      <c r="B19" s="163">
        <f>UR09!F82</f>
        <v>11906.5</v>
      </c>
      <c r="C19" s="338">
        <f>'HV-HC orig'!N17+'HV-HC orig'!N18</f>
        <v>15946.74</v>
      </c>
      <c r="D19" s="167">
        <f t="shared" si="10"/>
        <v>-4040.24</v>
      </c>
      <c r="E19" s="161">
        <f>(C19/B19)*100</f>
        <v>133.93306177298115</v>
      </c>
      <c r="F19" s="163">
        <f>UR09!G82</f>
        <v>605.5</v>
      </c>
      <c r="G19" s="338">
        <f>'HV-HC orig'!N19</f>
        <v>612.15</v>
      </c>
      <c r="H19" s="167">
        <f t="shared" si="11"/>
        <v>-6.649999999999977</v>
      </c>
      <c r="I19" s="161">
        <f>(G19/F19)*100</f>
        <v>101.09826589595374</v>
      </c>
      <c r="J19" s="163">
        <f>UR09!J82+UR09!M82</f>
        <v>57919.246</v>
      </c>
      <c r="K19" s="338">
        <f>'HV-HC orig'!N38+'HV-HC orig'!N67-'HV-HC orig'!N16-'HV-HC orig'!N17-'HV-HC orig'!N18-'HV-HC orig'!N19</f>
        <v>45987.91</v>
      </c>
      <c r="L19" s="167">
        <f t="shared" si="4"/>
        <v>11931.335999999996</v>
      </c>
      <c r="M19" s="161">
        <f t="shared" si="5"/>
        <v>79.40004951031304</v>
      </c>
      <c r="N19" s="166">
        <f t="shared" si="6"/>
        <v>70431.246</v>
      </c>
      <c r="O19" s="167">
        <f t="shared" si="7"/>
        <v>62546.8</v>
      </c>
      <c r="P19" s="167">
        <f t="shared" si="8"/>
        <v>7884.445999999996</v>
      </c>
      <c r="Q19" s="161">
        <f t="shared" si="9"/>
        <v>88.8054713670691</v>
      </c>
    </row>
    <row r="20" spans="1:17" ht="12.75">
      <c r="A20" s="169" t="s">
        <v>344</v>
      </c>
      <c r="B20" s="163">
        <f>UR09!F87</f>
        <v>12481.220000000001</v>
      </c>
      <c r="C20" s="338">
        <f>'HV-HC orig'!O17+'HV-HC orig'!O18</f>
        <v>10272.17</v>
      </c>
      <c r="D20" s="167">
        <f t="shared" si="10"/>
        <v>2209.050000000001</v>
      </c>
      <c r="E20" s="161">
        <f>(C20/B20)*100</f>
        <v>82.30100903597565</v>
      </c>
      <c r="F20" s="163">
        <f>UR09!G87</f>
        <v>639.78</v>
      </c>
      <c r="G20" s="338">
        <f>'HV-HC orig'!O19</f>
        <v>574.49</v>
      </c>
      <c r="H20" s="167">
        <f t="shared" si="11"/>
        <v>65.28999999999996</v>
      </c>
      <c r="I20" s="161">
        <f>(G20/F20)*100</f>
        <v>89.79492950701804</v>
      </c>
      <c r="J20" s="163">
        <f>UR09!J87+UR09!M87</f>
        <v>100684.24100000001</v>
      </c>
      <c r="K20" s="338">
        <f>'HV-HC orig'!O38+'HV-HC orig'!O67-'HV-HC orig'!O16-'HV-HC orig'!O17-'HV-HC orig'!O18-'HV-HC orig'!O19</f>
        <v>46139.27</v>
      </c>
      <c r="L20" s="167">
        <f>J20-K20</f>
        <v>54544.97100000001</v>
      </c>
      <c r="M20" s="161">
        <f>(K20/J20)*100</f>
        <v>45.82571169206112</v>
      </c>
      <c r="N20" s="166">
        <f>B20+F20+J20</f>
        <v>113805.24100000001</v>
      </c>
      <c r="O20" s="167">
        <f>C20+G20+K20</f>
        <v>56985.92999999999</v>
      </c>
      <c r="P20" s="167">
        <f>N20-O20</f>
        <v>56819.311000000016</v>
      </c>
      <c r="Q20" s="161">
        <f>(O20/N20)*100</f>
        <v>50.07320357065102</v>
      </c>
    </row>
    <row r="21" spans="1:17" ht="12.75">
      <c r="A21" s="169" t="s">
        <v>28</v>
      </c>
      <c r="B21" s="163">
        <f>UR09!F89</f>
        <v>800</v>
      </c>
      <c r="C21" s="338">
        <f>'HV-HC orig'!P17+'HV-HC orig'!P18</f>
        <v>648.54</v>
      </c>
      <c r="D21" s="167">
        <f t="shared" si="10"/>
        <v>151.46000000000004</v>
      </c>
      <c r="E21" s="161">
        <f>(C21/B21)*100</f>
        <v>81.0675</v>
      </c>
      <c r="F21" s="163">
        <f>UR09!G89</f>
        <v>31</v>
      </c>
      <c r="G21" s="338">
        <f>'HV-HC orig'!P19</f>
        <v>32.5</v>
      </c>
      <c r="H21" s="167">
        <f t="shared" si="11"/>
        <v>-1.5</v>
      </c>
      <c r="I21" s="161">
        <f>(G21/F21)*100</f>
        <v>104.83870967741935</v>
      </c>
      <c r="J21" s="163">
        <f>UR09!J89+UR09!M89</f>
        <v>3005</v>
      </c>
      <c r="K21" s="338">
        <f>'HV-HC orig'!P38+'HV-HC orig'!P67-'HV-HC orig'!P16-'HV-HC orig'!P17-'HV-HC orig'!P18-'HV-HC orig'!P19</f>
        <v>2889.24</v>
      </c>
      <c r="L21" s="167">
        <f t="shared" si="4"/>
        <v>115.76000000000022</v>
      </c>
      <c r="M21" s="161">
        <f t="shared" si="5"/>
        <v>96.14775374376039</v>
      </c>
      <c r="N21" s="166">
        <f t="shared" si="6"/>
        <v>3836</v>
      </c>
      <c r="O21" s="167">
        <f t="shared" si="7"/>
        <v>3570.2799999999997</v>
      </c>
      <c r="P21" s="167">
        <f t="shared" si="8"/>
        <v>265.72000000000025</v>
      </c>
      <c r="Q21" s="161">
        <f t="shared" si="9"/>
        <v>93.07299270072991</v>
      </c>
    </row>
    <row r="22" spans="1:17" ht="12.75">
      <c r="A22" s="169" t="s">
        <v>15</v>
      </c>
      <c r="B22" s="441">
        <f>UR09!F92</f>
        <v>0</v>
      </c>
      <c r="C22" s="339">
        <f>'HV-HC orig'!Q17+'HV-HC orig'!Q18</f>
        <v>680.49</v>
      </c>
      <c r="D22" s="167">
        <f t="shared" si="10"/>
        <v>-680.49</v>
      </c>
      <c r="E22" s="161"/>
      <c r="F22" s="163">
        <f>UR09!G92</f>
        <v>0</v>
      </c>
      <c r="G22" s="338">
        <f>'HV-HC orig'!Q19</f>
        <v>40.42</v>
      </c>
      <c r="H22" s="167">
        <f t="shared" si="11"/>
        <v>-40.42</v>
      </c>
      <c r="I22" s="161"/>
      <c r="J22" s="441">
        <f>UR09!J92+UR09!M92</f>
        <v>10033.61</v>
      </c>
      <c r="K22" s="339">
        <f>'HV-HC orig'!Q38+'HV-HC orig'!Q67-'HV-HC orig'!Q16-'HV-HC orig'!Q17-'HV-HC orig'!Q18-'HV-HC orig'!Q19</f>
        <v>2396.3199999999997</v>
      </c>
      <c r="L22" s="171">
        <f t="shared" si="4"/>
        <v>7637.290000000001</v>
      </c>
      <c r="M22" s="161">
        <f t="shared" si="5"/>
        <v>23.882929474037752</v>
      </c>
      <c r="N22" s="170">
        <f t="shared" si="6"/>
        <v>10033.61</v>
      </c>
      <c r="O22" s="171">
        <f t="shared" si="7"/>
        <v>3117.2299999999996</v>
      </c>
      <c r="P22" s="171">
        <f t="shared" si="8"/>
        <v>6916.380000000001</v>
      </c>
      <c r="Q22" s="161">
        <f t="shared" si="9"/>
        <v>31.067880852454895</v>
      </c>
    </row>
    <row r="23" spans="1:17" ht="13.5" thickBot="1">
      <c r="A23" s="172" t="s">
        <v>16</v>
      </c>
      <c r="B23" s="441">
        <f>UR09!F94</f>
        <v>1004</v>
      </c>
      <c r="C23" s="339">
        <f>'HV-HC orig'!R17+'HV-HC orig'!R18</f>
        <v>893.26</v>
      </c>
      <c r="D23" s="171">
        <f t="shared" si="10"/>
        <v>110.74000000000001</v>
      </c>
      <c r="E23" s="173">
        <f>(C23/B23)*100</f>
        <v>88.97011952191235</v>
      </c>
      <c r="F23" s="441">
        <f>UR09!G94</f>
        <v>50</v>
      </c>
      <c r="G23" s="339">
        <f>'HV-HC orig'!R19</f>
        <v>50.19</v>
      </c>
      <c r="H23" s="171">
        <f t="shared" si="11"/>
        <v>-0.18999999999999773</v>
      </c>
      <c r="I23" s="173">
        <f>(G23/F23)*100</f>
        <v>100.38</v>
      </c>
      <c r="J23" s="441">
        <f>UR09!J94+UR09!M94</f>
        <v>9576</v>
      </c>
      <c r="K23" s="339">
        <f>'HV-HC orig'!R38+'HV-HC orig'!R67-'HV-HC orig'!R16-'HV-HC orig'!R17-'HV-HC orig'!R18-'HV-HC orig'!R19</f>
        <v>10901.33</v>
      </c>
      <c r="L23" s="171">
        <f t="shared" si="4"/>
        <v>-1325.33</v>
      </c>
      <c r="M23" s="173">
        <f t="shared" si="5"/>
        <v>113.84012113617376</v>
      </c>
      <c r="N23" s="170">
        <f t="shared" si="6"/>
        <v>10630</v>
      </c>
      <c r="O23" s="171">
        <f t="shared" si="7"/>
        <v>11844.78</v>
      </c>
      <c r="P23" s="171">
        <f t="shared" si="8"/>
        <v>-1214.7800000000007</v>
      </c>
      <c r="Q23" s="173">
        <f t="shared" si="9"/>
        <v>111.42784571966133</v>
      </c>
    </row>
    <row r="24" spans="1:17" ht="16.5" thickBot="1">
      <c r="A24" s="174" t="s">
        <v>193</v>
      </c>
      <c r="B24" s="175">
        <f>SUM(B9:B23)</f>
        <v>142543.39200000002</v>
      </c>
      <c r="C24" s="340">
        <f>SUM(C9:C23)</f>
        <v>127420.61000000002</v>
      </c>
      <c r="D24" s="176">
        <f>SUM(D9:D23)</f>
        <v>15122.782000000003</v>
      </c>
      <c r="E24" s="177">
        <f>(C24/B24)*100</f>
        <v>89.39075197537042</v>
      </c>
      <c r="F24" s="175">
        <f>SUM(F9:F23)</f>
        <v>6519.561999999999</v>
      </c>
      <c r="G24" s="340">
        <f>SUM(G9:G23)</f>
        <v>6052.639999999999</v>
      </c>
      <c r="H24" s="176">
        <f>SUM(H9:H23)+0.5</f>
        <v>467.4219999999996</v>
      </c>
      <c r="I24" s="177">
        <f>(G24/F24)*100</f>
        <v>92.838138512986</v>
      </c>
      <c r="J24" s="175">
        <f>SUM(J9:J23)</f>
        <v>884704.1100000001</v>
      </c>
      <c r="K24" s="340">
        <f>SUM(K9:K23)</f>
        <v>1128728.8099999998</v>
      </c>
      <c r="L24" s="176">
        <f>SUM(L9:L23)</f>
        <v>-244024.69999999984</v>
      </c>
      <c r="M24" s="177">
        <f t="shared" si="5"/>
        <v>127.58263437930675</v>
      </c>
      <c r="N24" s="175">
        <f>SUM(N9:N23)</f>
        <v>1033767.0640000001</v>
      </c>
      <c r="O24" s="176">
        <f>SUM(O9:O23)</f>
        <v>1262202.06</v>
      </c>
      <c r="P24" s="176">
        <f>SUM(P9:P23)</f>
        <v>-228434.9959999999</v>
      </c>
      <c r="Q24" s="177">
        <f t="shared" si="9"/>
        <v>122.09733739398763</v>
      </c>
    </row>
    <row r="31" ht="12.75">
      <c r="F31" s="149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O23"/>
  <sheetViews>
    <sheetView zoomScale="85" zoomScaleNormal="85" workbookViewId="0" topLeftCell="A1">
      <selection activeCell="D5" sqref="D5"/>
    </sheetView>
  </sheetViews>
  <sheetFormatPr defaultColWidth="9.140625" defaultRowHeight="12.75"/>
  <cols>
    <col min="1" max="1" width="17.28125" style="0" customWidth="1"/>
    <col min="2" max="2" width="9.7109375" style="0" customWidth="1"/>
    <col min="3" max="3" width="10.140625" style="0" customWidth="1"/>
    <col min="4" max="4" width="8.140625" style="0" customWidth="1"/>
    <col min="6" max="6" width="10.140625" style="0" customWidth="1"/>
    <col min="7" max="7" width="8.140625" style="0" customWidth="1"/>
    <col min="8" max="8" width="14.00390625" style="0" customWidth="1"/>
    <col min="10" max="10" width="10.140625" style="0" customWidth="1"/>
    <col min="11" max="11" width="8.140625" style="0" customWidth="1"/>
  </cols>
  <sheetData>
    <row r="1" ht="15.75">
      <c r="J1" s="2" t="s">
        <v>339</v>
      </c>
    </row>
    <row r="2" ht="12.75">
      <c r="A2" s="111" t="s">
        <v>346</v>
      </c>
    </row>
    <row r="3" ht="12.75">
      <c r="A3" s="111"/>
    </row>
    <row r="4" ht="12.75">
      <c r="A4" s="111"/>
    </row>
    <row r="5" ht="13.5" thickBot="1">
      <c r="J5" t="s">
        <v>1</v>
      </c>
    </row>
    <row r="6" spans="1:11" ht="12.75" customHeight="1">
      <c r="A6" s="474" t="s">
        <v>164</v>
      </c>
      <c r="B6" s="476" t="s">
        <v>174</v>
      </c>
      <c r="C6" s="473"/>
      <c r="D6" s="470" t="s">
        <v>409</v>
      </c>
      <c r="E6" s="472" t="s">
        <v>175</v>
      </c>
      <c r="F6" s="473"/>
      <c r="G6" s="470" t="s">
        <v>409</v>
      </c>
      <c r="H6" s="477" t="s">
        <v>176</v>
      </c>
      <c r="I6" s="472" t="s">
        <v>177</v>
      </c>
      <c r="J6" s="473"/>
      <c r="K6" s="470" t="s">
        <v>409</v>
      </c>
    </row>
    <row r="7" spans="1:11" ht="13.5" thickBot="1">
      <c r="A7" s="475"/>
      <c r="B7" s="124" t="s">
        <v>178</v>
      </c>
      <c r="C7" s="125" t="s">
        <v>179</v>
      </c>
      <c r="D7" s="471"/>
      <c r="E7" s="126" t="s">
        <v>178</v>
      </c>
      <c r="F7" s="125" t="s">
        <v>179</v>
      </c>
      <c r="G7" s="471"/>
      <c r="H7" s="478"/>
      <c r="I7" s="126" t="s">
        <v>178</v>
      </c>
      <c r="J7" s="125" t="s">
        <v>179</v>
      </c>
      <c r="K7" s="471"/>
    </row>
    <row r="8" spans="1:15" ht="12.75">
      <c r="A8" s="127" t="s">
        <v>4</v>
      </c>
      <c r="B8" s="233">
        <f>1680</f>
        <v>1680</v>
      </c>
      <c r="C8" s="233">
        <f>'HV-HC orig'!D39+'HV-HC orig'!D40+'HV-HC orig'!D41+'HV-HC orig'!D44+'HV-HC orig'!D53</f>
        <v>2960.0099999999998</v>
      </c>
      <c r="D8" s="130">
        <f aca="true" t="shared" si="0" ref="D8:D22">C8-B8</f>
        <v>1280.0099999999998</v>
      </c>
      <c r="E8" s="131">
        <f>150+50+374</f>
        <v>574</v>
      </c>
      <c r="F8" s="128">
        <f>'HV-HC orig'!D56+'HV-HC orig'!D57+'HV-HC orig'!D54+'HV-HC orig'!D50+'HV-HC orig'!D52</f>
        <v>1331.93</v>
      </c>
      <c r="G8" s="130">
        <f aca="true" t="shared" si="1" ref="G8:G22">F8-E8</f>
        <v>757.9300000000001</v>
      </c>
      <c r="H8" s="129">
        <f>'HV-HC orig'!D55</f>
        <v>-45594.32</v>
      </c>
      <c r="I8" s="131">
        <f aca="true" t="shared" si="2" ref="I8:I22">SUM(B8+E8)</f>
        <v>2254</v>
      </c>
      <c r="J8" s="129">
        <f>SUM(C8+F8+H8)</f>
        <v>-41302.38</v>
      </c>
      <c r="K8" s="130">
        <f>J8-I8</f>
        <v>-43556.38</v>
      </c>
      <c r="N8" s="132"/>
      <c r="O8" s="132"/>
    </row>
    <row r="9" spans="1:15" ht="12.75">
      <c r="A9" s="133" t="s">
        <v>5</v>
      </c>
      <c r="B9" s="117">
        <f>250</f>
        <v>250</v>
      </c>
      <c r="C9" s="117">
        <f>'HV-HC orig'!E39+'HV-HC orig'!E40+'HV-HC orig'!E41+'HV-HC orig'!E44+'HV-HC orig'!E53</f>
        <v>2961.46</v>
      </c>
      <c r="D9" s="135">
        <f t="shared" si="0"/>
        <v>2711.46</v>
      </c>
      <c r="E9" s="136">
        <v>34559</v>
      </c>
      <c r="F9" s="134">
        <f>'HV-HC orig'!E56+'HV-HC orig'!E57+'HV-HC orig'!E54+'HV-HC orig'!E50+'HV-HC orig'!E52</f>
        <v>2629.3199999999997</v>
      </c>
      <c r="G9" s="137">
        <f t="shared" si="1"/>
        <v>-31929.68</v>
      </c>
      <c r="H9" s="136">
        <f>'HV-HC orig'!E55</f>
        <v>11343.07</v>
      </c>
      <c r="I9" s="138">
        <f t="shared" si="2"/>
        <v>34809</v>
      </c>
      <c r="J9" s="129">
        <f aca="true" t="shared" si="3" ref="J9:J22">SUM(C9+F9+H9)</f>
        <v>16933.85</v>
      </c>
      <c r="K9" s="137">
        <f>J9-I9</f>
        <v>-17875.15</v>
      </c>
      <c r="N9" s="132"/>
      <c r="O9" s="132"/>
    </row>
    <row r="10" spans="1:15" ht="12.75">
      <c r="A10" s="133" t="s">
        <v>171</v>
      </c>
      <c r="B10" s="117">
        <v>3228</v>
      </c>
      <c r="C10" s="117">
        <f>'HV-HC orig'!F39+'HV-HC orig'!F40+'HV-HC orig'!F41+'HV-HC orig'!F44+'HV-HC orig'!F53</f>
        <v>1245.07</v>
      </c>
      <c r="D10" s="135">
        <f t="shared" si="0"/>
        <v>-1982.93</v>
      </c>
      <c r="E10" s="136"/>
      <c r="F10" s="235">
        <f>'HV-HC orig'!F56+'HV-HC orig'!F57+'HV-HC orig'!F54+'HV-HC orig'!F50+'HV-HC orig'!F52</f>
        <v>40.18</v>
      </c>
      <c r="G10" s="135">
        <f t="shared" si="1"/>
        <v>40.18</v>
      </c>
      <c r="H10" s="114">
        <f>'HV-HC orig'!F55</f>
        <v>620</v>
      </c>
      <c r="I10" s="138">
        <f t="shared" si="2"/>
        <v>3228</v>
      </c>
      <c r="J10" s="129">
        <f t="shared" si="3"/>
        <v>1905.25</v>
      </c>
      <c r="K10" s="137">
        <f aca="true" t="shared" si="4" ref="K10:K22">J10-I10</f>
        <v>-1322.75</v>
      </c>
      <c r="N10" s="132"/>
      <c r="O10" s="132"/>
    </row>
    <row r="11" spans="1:15" ht="12.75">
      <c r="A11" s="133" t="s">
        <v>7</v>
      </c>
      <c r="B11" s="117">
        <v>3000</v>
      </c>
      <c r="C11" s="117">
        <f>'HV-HC orig'!G39+'HV-HC orig'!G40+'HV-HC orig'!G41+'HV-HC orig'!G44+'HV-HC orig'!G53</f>
        <v>1549.7199999999998</v>
      </c>
      <c r="D11" s="135">
        <f t="shared" si="0"/>
        <v>-1450.2800000000002</v>
      </c>
      <c r="E11" s="136">
        <f>10000+600</f>
        <v>10600</v>
      </c>
      <c r="F11" s="139">
        <f>'HV-HC orig'!G56+'HV-HC orig'!G57+'HV-HC orig'!G54+'HV-HC orig'!G50+'HV-HC orig'!G52</f>
        <v>13758.75</v>
      </c>
      <c r="G11" s="135">
        <f t="shared" si="1"/>
        <v>3158.75</v>
      </c>
      <c r="H11" s="114">
        <f>'HV-HC orig'!G55</f>
        <v>809.11</v>
      </c>
      <c r="I11" s="138">
        <f t="shared" si="2"/>
        <v>13600</v>
      </c>
      <c r="J11" s="129">
        <f t="shared" si="3"/>
        <v>16117.58</v>
      </c>
      <c r="K11" s="137">
        <f t="shared" si="4"/>
        <v>2517.58</v>
      </c>
      <c r="N11" s="132"/>
      <c r="O11" s="132"/>
    </row>
    <row r="12" spans="1:15" ht="12.75">
      <c r="A12" s="133" t="s">
        <v>8</v>
      </c>
      <c r="B12" s="117">
        <v>2100</v>
      </c>
      <c r="C12" s="117">
        <f>'HV-HC orig'!H39+'HV-HC orig'!H40+'HV-HC orig'!H41+'HV-HC orig'!H44+'HV-HC orig'!H53</f>
        <v>3187.47</v>
      </c>
      <c r="D12" s="135">
        <f t="shared" si="0"/>
        <v>1087.4699999999998</v>
      </c>
      <c r="E12" s="136">
        <f>800+250+1680</f>
        <v>2730</v>
      </c>
      <c r="F12" s="119">
        <f>'HV-HC orig'!H56+'HV-HC orig'!H57+'HV-HC orig'!H54+'HV-HC orig'!H50+'HV-HC orig'!H52</f>
        <v>2994.91</v>
      </c>
      <c r="G12" s="135">
        <f t="shared" si="1"/>
        <v>264.90999999999985</v>
      </c>
      <c r="H12" s="114">
        <f>'HV-HC orig'!H55</f>
        <v>-97424.71</v>
      </c>
      <c r="I12" s="138">
        <f t="shared" si="2"/>
        <v>4830</v>
      </c>
      <c r="J12" s="129">
        <f t="shared" si="3"/>
        <v>-91242.33</v>
      </c>
      <c r="K12" s="137">
        <f>J12-I12</f>
        <v>-96072.33</v>
      </c>
      <c r="N12" s="132"/>
      <c r="O12" s="132"/>
    </row>
    <row r="13" spans="1:15" ht="12.75">
      <c r="A13" s="133" t="s">
        <v>9</v>
      </c>
      <c r="B13" s="117">
        <v>50</v>
      </c>
      <c r="C13" s="117">
        <f>'HV-HC orig'!I39+'HV-HC orig'!I40+'HV-HC orig'!I41+'HV-HC orig'!I44+'HV-HC orig'!I53</f>
        <v>32.31</v>
      </c>
      <c r="D13" s="135">
        <f t="shared" si="0"/>
        <v>-17.689999999999998</v>
      </c>
      <c r="E13" s="136"/>
      <c r="F13" s="134">
        <f>'HV-HC orig'!I56+'HV-HC orig'!I57+'HV-HC orig'!I54+'HV-HC orig'!I50+'HV-HC orig'!I52</f>
        <v>68.05</v>
      </c>
      <c r="G13" s="135">
        <f t="shared" si="1"/>
        <v>68.05</v>
      </c>
      <c r="H13" s="114">
        <f>'HV-HC orig'!I55</f>
        <v>1259.48</v>
      </c>
      <c r="I13" s="138">
        <f t="shared" si="2"/>
        <v>50</v>
      </c>
      <c r="J13" s="129">
        <f t="shared" si="3"/>
        <v>1359.84</v>
      </c>
      <c r="K13" s="137">
        <f t="shared" si="4"/>
        <v>1309.84</v>
      </c>
      <c r="N13" s="132"/>
      <c r="O13" s="132"/>
    </row>
    <row r="14" spans="1:15" ht="12.75">
      <c r="A14" s="133" t="s">
        <v>10</v>
      </c>
      <c r="B14" s="117">
        <v>120</v>
      </c>
      <c r="C14" s="117">
        <f>'HV-HC orig'!J39+'HV-HC orig'!J40+'HV-HC orig'!J41+'HV-HC orig'!J44+'HV-HC orig'!J53</f>
        <v>393.13</v>
      </c>
      <c r="D14" s="135">
        <f t="shared" si="0"/>
        <v>273.13</v>
      </c>
      <c r="E14" s="136"/>
      <c r="F14" s="235">
        <f>'HV-HC orig'!J56+'HV-HC orig'!J57+'HV-HC orig'!J54+'HV-HC orig'!J50+'HV-HC orig'!J52</f>
        <v>10.67</v>
      </c>
      <c r="G14" s="135">
        <f t="shared" si="1"/>
        <v>10.67</v>
      </c>
      <c r="H14" s="114">
        <f>'HV-HC orig'!J55</f>
        <v>0</v>
      </c>
      <c r="I14" s="138">
        <f t="shared" si="2"/>
        <v>120</v>
      </c>
      <c r="J14" s="129">
        <f t="shared" si="3"/>
        <v>403.8</v>
      </c>
      <c r="K14" s="137">
        <f t="shared" si="4"/>
        <v>283.8</v>
      </c>
      <c r="N14" s="132"/>
      <c r="O14" s="132"/>
    </row>
    <row r="15" spans="1:15" s="178" customFormat="1" ht="12.75">
      <c r="A15" s="365" t="s">
        <v>11</v>
      </c>
      <c r="B15" s="366">
        <f>5545</f>
        <v>5545</v>
      </c>
      <c r="C15" s="366">
        <f>'HV-HC orig'!K39+'HV-HC orig'!K40+'HV-HC orig'!K41+'HV-HC orig'!K44+'HV-HC orig'!K53</f>
        <v>2990.43</v>
      </c>
      <c r="D15" s="367">
        <f t="shared" si="0"/>
        <v>-2554.57</v>
      </c>
      <c r="E15" s="368">
        <f>1350+6044+2600</f>
        <v>9994</v>
      </c>
      <c r="F15" s="235">
        <f>'HV-HC orig'!K56+'HV-HC orig'!K57+'HV-HC orig'!K54+'HV-HC orig'!K50+'HV-HC orig'!K52</f>
        <v>2058.1600000000003</v>
      </c>
      <c r="G15" s="367">
        <f t="shared" si="1"/>
        <v>-7935.84</v>
      </c>
      <c r="H15" s="233">
        <f>'HV-HC orig'!K55</f>
        <v>68164.46</v>
      </c>
      <c r="I15" s="369">
        <f t="shared" si="2"/>
        <v>15539</v>
      </c>
      <c r="J15" s="260">
        <f t="shared" si="3"/>
        <v>73213.05</v>
      </c>
      <c r="K15" s="370">
        <f t="shared" si="4"/>
        <v>57674.05</v>
      </c>
      <c r="N15" s="364"/>
      <c r="O15" s="364"/>
    </row>
    <row r="16" spans="1:15" ht="12.75">
      <c r="A16" s="133" t="s">
        <v>343</v>
      </c>
      <c r="B16" s="119">
        <f>1649</f>
        <v>1649</v>
      </c>
      <c r="C16" s="119">
        <f>'HV-HC orig'!L39+'HV-HC orig'!L40+'HV-HC orig'!L41+'HV-HC orig'!L44+'HV-HC orig'!L53</f>
        <v>2094.23</v>
      </c>
      <c r="D16" s="135">
        <f t="shared" si="0"/>
        <v>445.23</v>
      </c>
      <c r="E16" s="136">
        <f>4768+100</f>
        <v>4868</v>
      </c>
      <c r="F16" s="134">
        <f>'HV-HC orig'!L56+'HV-HC orig'!L57+'HV-HC orig'!L54+'HV-HC orig'!L50+'HV-HC orig'!L52</f>
        <v>4601.789999999999</v>
      </c>
      <c r="G16" s="135">
        <f t="shared" si="1"/>
        <v>-266.21000000000095</v>
      </c>
      <c r="H16" s="114">
        <f>'HV-HC orig'!L55</f>
        <v>184.12</v>
      </c>
      <c r="I16" s="138">
        <f t="shared" si="2"/>
        <v>6517</v>
      </c>
      <c r="J16" s="129">
        <f t="shared" si="3"/>
        <v>6880.1399999999985</v>
      </c>
      <c r="K16" s="137">
        <f t="shared" si="4"/>
        <v>363.1399999999985</v>
      </c>
      <c r="N16" s="132"/>
      <c r="O16" s="132"/>
    </row>
    <row r="17" spans="1:15" ht="12.75">
      <c r="A17" s="133" t="s">
        <v>12</v>
      </c>
      <c r="B17" s="119"/>
      <c r="C17" s="119">
        <f>'HV-HC orig'!M39+'HV-HC orig'!M40+'HV-HC orig'!M41+'HV-HC orig'!M44+'HV-HC orig'!M53</f>
        <v>1.13</v>
      </c>
      <c r="D17" s="135">
        <f t="shared" si="0"/>
        <v>1.13</v>
      </c>
      <c r="E17" s="136">
        <v>120</v>
      </c>
      <c r="F17" s="134">
        <f>'HV-HC orig'!M56+'HV-HC orig'!M57+'HV-HC orig'!M54+'HV-HC orig'!M50+'HV-HC orig'!M52</f>
        <v>790.15</v>
      </c>
      <c r="G17" s="135">
        <f t="shared" si="1"/>
        <v>670.15</v>
      </c>
      <c r="H17" s="114">
        <f>'HV-HC orig'!M55</f>
        <v>25.82</v>
      </c>
      <c r="I17" s="138">
        <f t="shared" si="2"/>
        <v>120</v>
      </c>
      <c r="J17" s="129">
        <f t="shared" si="3"/>
        <v>817.1</v>
      </c>
      <c r="K17" s="137">
        <f t="shared" si="4"/>
        <v>697.1</v>
      </c>
      <c r="N17" s="132"/>
      <c r="O17" s="132"/>
    </row>
    <row r="18" spans="1:15" ht="12.75">
      <c r="A18" s="133" t="s">
        <v>13</v>
      </c>
      <c r="B18" s="117">
        <f>6625+1055+3573+6737</f>
        <v>17990</v>
      </c>
      <c r="C18" s="117">
        <f>'HV-HC orig'!N39+'HV-HC orig'!N40+'HV-HC orig'!N41+'HV-HC orig'!N44+'HV-HC orig'!N53</f>
        <v>20778.489999999998</v>
      </c>
      <c r="D18" s="135">
        <f t="shared" si="0"/>
        <v>2788.489999999998</v>
      </c>
      <c r="E18" s="136">
        <f>28</f>
        <v>28</v>
      </c>
      <c r="F18" s="134">
        <f>'HV-HC orig'!N56+'HV-HC orig'!N57+'HV-HC orig'!N54+'HV-HC orig'!N50+'HV-HC orig'!N52</f>
        <v>1647.98</v>
      </c>
      <c r="G18" s="135">
        <f t="shared" si="1"/>
        <v>1619.98</v>
      </c>
      <c r="H18" s="114">
        <f>'HV-HC orig'!N55</f>
        <v>21050.84</v>
      </c>
      <c r="I18" s="138">
        <f t="shared" si="2"/>
        <v>18018</v>
      </c>
      <c r="J18" s="129">
        <f t="shared" si="3"/>
        <v>43477.31</v>
      </c>
      <c r="K18" s="137">
        <f t="shared" si="4"/>
        <v>25459.309999999998</v>
      </c>
      <c r="N18" s="132"/>
      <c r="O18" s="132"/>
    </row>
    <row r="19" spans="1:15" ht="12.75">
      <c r="A19" s="133" t="s">
        <v>344</v>
      </c>
      <c r="B19" s="117">
        <v>200</v>
      </c>
      <c r="C19" s="117">
        <f>'HV-HC orig'!O39+'HV-HC orig'!O40+'HV-HC orig'!O41+'HV-HC orig'!O44+'HV-HC orig'!O53</f>
        <v>90.43</v>
      </c>
      <c r="D19" s="135">
        <f t="shared" si="0"/>
        <v>-109.57</v>
      </c>
      <c r="E19" s="136"/>
      <c r="F19" s="134">
        <f>'HV-HC orig'!O56+'HV-HC orig'!O57+'HV-HC orig'!O54+'HV-HC orig'!O50+'HV-HC orig'!O52</f>
        <v>65.01</v>
      </c>
      <c r="G19" s="135">
        <f t="shared" si="1"/>
        <v>65.01</v>
      </c>
      <c r="H19" s="114">
        <f>'HV-HC orig'!O55</f>
        <v>0</v>
      </c>
      <c r="I19" s="138">
        <f t="shared" si="2"/>
        <v>200</v>
      </c>
      <c r="J19" s="129">
        <f>SUM(C19+F19+H19)</f>
        <v>155.44</v>
      </c>
      <c r="K19" s="137">
        <f>J19-I19</f>
        <v>-44.56</v>
      </c>
      <c r="N19" s="132"/>
      <c r="O19" s="132"/>
    </row>
    <row r="20" spans="1:15" ht="12.75">
      <c r="A20" s="133" t="s">
        <v>28</v>
      </c>
      <c r="B20" s="117">
        <v>840</v>
      </c>
      <c r="C20" s="117">
        <f>'HV-HC orig'!P39+'HV-HC orig'!P40+'HV-HC orig'!P41+'HV-HC orig'!P44+'HV-HC orig'!P53</f>
        <v>957.8199999999999</v>
      </c>
      <c r="D20" s="135">
        <f t="shared" si="0"/>
        <v>117.81999999999994</v>
      </c>
      <c r="E20" s="136">
        <v>10</v>
      </c>
      <c r="F20" s="134">
        <f>'HV-HC orig'!P56+'HV-HC orig'!P57+'HV-HC orig'!P54+'HV-HC orig'!P50+'HV-HC orig'!P52</f>
        <v>0.6499999999999999</v>
      </c>
      <c r="G20" s="135">
        <f t="shared" si="1"/>
        <v>-9.35</v>
      </c>
      <c r="H20" s="114">
        <f>'HV-HC orig'!P55</f>
        <v>461.38</v>
      </c>
      <c r="I20" s="138">
        <f t="shared" si="2"/>
        <v>850</v>
      </c>
      <c r="J20" s="129">
        <f>SUM(C20+F20+H20)</f>
        <v>1419.85</v>
      </c>
      <c r="K20" s="137">
        <f t="shared" si="4"/>
        <v>569.8499999999999</v>
      </c>
      <c r="N20" s="132"/>
      <c r="O20" s="132"/>
    </row>
    <row r="21" spans="1:15" ht="12.75">
      <c r="A21" s="133" t="s">
        <v>15</v>
      </c>
      <c r="B21" s="259">
        <v>6400</v>
      </c>
      <c r="C21" s="259">
        <f>'HV-HC orig'!Q39+'HV-HC orig'!Q40+'HV-HC orig'!Q41+'HV-HC orig'!Q44+'HV-HC orig'!Q53</f>
        <v>2529</v>
      </c>
      <c r="D21" s="135">
        <f t="shared" si="0"/>
        <v>-3871</v>
      </c>
      <c r="E21" s="136">
        <v>1300</v>
      </c>
      <c r="F21" s="134">
        <f>'HV-HC orig'!Q56+'HV-HC orig'!Q57+'HV-HC orig'!Q54+'HV-HC orig'!Q50+'HV-HC orig'!Q52</f>
        <v>417.6</v>
      </c>
      <c r="G21" s="135">
        <f t="shared" si="1"/>
        <v>-882.4</v>
      </c>
      <c r="H21" s="114">
        <f>'HV-HC orig'!Q55</f>
        <v>334.41</v>
      </c>
      <c r="I21" s="138">
        <f>SUM(B21+E21)</f>
        <v>7700</v>
      </c>
      <c r="J21" s="129">
        <f>SUM(C21+F21+H21)</f>
        <v>3281.0099999999998</v>
      </c>
      <c r="K21" s="137">
        <f t="shared" si="4"/>
        <v>-4418.99</v>
      </c>
      <c r="N21" s="132"/>
      <c r="O21" s="132"/>
    </row>
    <row r="22" spans="1:15" ht="12.75">
      <c r="A22" s="133" t="s">
        <v>16</v>
      </c>
      <c r="B22" s="117">
        <v>945</v>
      </c>
      <c r="C22" s="117">
        <f>'HV-HC orig'!R39+'HV-HC orig'!R40+'HV-HC orig'!R41+'HV-HC orig'!R44+'HV-HC orig'!R53</f>
        <v>1088.2</v>
      </c>
      <c r="D22" s="135">
        <f t="shared" si="0"/>
        <v>143.20000000000005</v>
      </c>
      <c r="E22" s="136"/>
      <c r="F22" s="134">
        <f>'HV-HC orig'!R56+'HV-HC orig'!R57+'HV-HC orig'!R54+'HV-HC orig'!R50+'HV-HC orig'!R52</f>
        <v>1071.58</v>
      </c>
      <c r="G22" s="135">
        <f t="shared" si="1"/>
        <v>1071.58</v>
      </c>
      <c r="H22" s="114">
        <f>'HV-HC orig'!R55</f>
        <v>0</v>
      </c>
      <c r="I22" s="138">
        <f t="shared" si="2"/>
        <v>945</v>
      </c>
      <c r="J22" s="129">
        <f t="shared" si="3"/>
        <v>2159.7799999999997</v>
      </c>
      <c r="K22" s="137">
        <f t="shared" si="4"/>
        <v>1214.7799999999997</v>
      </c>
      <c r="N22" s="132"/>
      <c r="O22" s="132"/>
    </row>
    <row r="23" spans="1:14" ht="13.5" thickBot="1">
      <c r="A23" s="140" t="s">
        <v>172</v>
      </c>
      <c r="B23" s="141">
        <f aca="true" t="shared" si="5" ref="B23:K23">SUM(B8:B22)</f>
        <v>43997</v>
      </c>
      <c r="C23" s="122">
        <f t="shared" si="5"/>
        <v>42858.899999999994</v>
      </c>
      <c r="D23" s="123">
        <f t="shared" si="5"/>
        <v>-1138.1000000000029</v>
      </c>
      <c r="E23" s="142">
        <f t="shared" si="5"/>
        <v>64783</v>
      </c>
      <c r="F23" s="122">
        <f t="shared" si="5"/>
        <v>31486.729999999996</v>
      </c>
      <c r="G23" s="123">
        <f t="shared" si="5"/>
        <v>-33296.26999999999</v>
      </c>
      <c r="H23" s="122">
        <f t="shared" si="5"/>
        <v>-38766.340000000004</v>
      </c>
      <c r="I23" s="143">
        <f>SUM(I8:I22)</f>
        <v>108780</v>
      </c>
      <c r="J23" s="122">
        <f t="shared" si="5"/>
        <v>35579.28999999999</v>
      </c>
      <c r="K23" s="123">
        <f t="shared" si="5"/>
        <v>-73200.71</v>
      </c>
      <c r="N23" s="132"/>
    </row>
  </sheetData>
  <mergeCells count="8">
    <mergeCell ref="K6:K7"/>
    <mergeCell ref="E6:F6"/>
    <mergeCell ref="G6:G7"/>
    <mergeCell ref="A6:A7"/>
    <mergeCell ref="B6:C6"/>
    <mergeCell ref="D6:D7"/>
    <mergeCell ref="I6:J6"/>
    <mergeCell ref="H6:H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H23"/>
  <sheetViews>
    <sheetView zoomScale="80" zoomScaleNormal="80" workbookViewId="0" topLeftCell="A1">
      <selection activeCell="E8" sqref="E8"/>
    </sheetView>
  </sheetViews>
  <sheetFormatPr defaultColWidth="9.140625" defaultRowHeight="12.75"/>
  <cols>
    <col min="1" max="1" width="18.421875" style="0" customWidth="1"/>
    <col min="2" max="2" width="11.8515625" style="0" customWidth="1"/>
    <col min="3" max="3" width="9.8515625" style="0" customWidth="1"/>
    <col min="4" max="5" width="11.57421875" style="0" customWidth="1"/>
    <col min="6" max="6" width="10.7109375" style="0" customWidth="1"/>
    <col min="8" max="8" width="16.140625" style="0" customWidth="1"/>
  </cols>
  <sheetData>
    <row r="1" ht="15.75">
      <c r="H1" s="2" t="s">
        <v>340</v>
      </c>
    </row>
    <row r="3" ht="12.75">
      <c r="A3" s="111" t="s">
        <v>347</v>
      </c>
    </row>
    <row r="4" ht="12.75">
      <c r="A4" s="111"/>
    </row>
    <row r="5" ht="13.5" thickBot="1">
      <c r="F5" t="s">
        <v>1</v>
      </c>
    </row>
    <row r="6" spans="1:8" ht="12.75" customHeight="1">
      <c r="A6" s="481" t="s">
        <v>164</v>
      </c>
      <c r="B6" s="483" t="s">
        <v>165</v>
      </c>
      <c r="C6" s="484"/>
      <c r="D6" s="483" t="s">
        <v>166</v>
      </c>
      <c r="E6" s="484"/>
      <c r="F6" s="483" t="s">
        <v>167</v>
      </c>
      <c r="G6" s="484"/>
      <c r="H6" s="479" t="s">
        <v>168</v>
      </c>
    </row>
    <row r="7" spans="1:8" ht="25.5">
      <c r="A7" s="482"/>
      <c r="B7" s="112" t="s">
        <v>165</v>
      </c>
      <c r="C7" s="112" t="s">
        <v>169</v>
      </c>
      <c r="D7" s="112" t="s">
        <v>166</v>
      </c>
      <c r="E7" s="112" t="s">
        <v>169</v>
      </c>
      <c r="F7" s="112" t="s">
        <v>170</v>
      </c>
      <c r="G7" s="112" t="s">
        <v>169</v>
      </c>
      <c r="H7" s="480"/>
    </row>
    <row r="8" spans="1:8" ht="12.75">
      <c r="A8" s="113" t="s">
        <v>4</v>
      </c>
      <c r="B8" s="128">
        <f>'HV-HC orig'!D66</f>
        <v>4207.539999999994</v>
      </c>
      <c r="C8" s="114"/>
      <c r="D8" s="114"/>
      <c r="E8" s="114"/>
      <c r="F8" s="114">
        <f aca="true" t="shared" si="0" ref="F8:F22">D8+B8</f>
        <v>4207.539999999994</v>
      </c>
      <c r="G8" s="114">
        <f aca="true" t="shared" si="1" ref="G8:G22">C8+E8</f>
        <v>0</v>
      </c>
      <c r="H8" s="115">
        <f aca="true" t="shared" si="2" ref="H8:H22">F8-G8</f>
        <v>4207.539999999994</v>
      </c>
    </row>
    <row r="9" spans="1:8" ht="12.75">
      <c r="A9" s="116" t="s">
        <v>5</v>
      </c>
      <c r="B9" s="134">
        <f>'HV-HC orig'!E66</f>
        <v>312.19000000006054</v>
      </c>
      <c r="C9" s="117"/>
      <c r="D9" s="117">
        <f>'HV-JC orig'!D67</f>
        <v>41.05000000000007</v>
      </c>
      <c r="E9" s="117"/>
      <c r="F9" s="117">
        <f t="shared" si="0"/>
        <v>353.2400000000606</v>
      </c>
      <c r="G9" s="114">
        <f t="shared" si="1"/>
        <v>0</v>
      </c>
      <c r="H9" s="115">
        <f t="shared" si="2"/>
        <v>353.2400000000606</v>
      </c>
    </row>
    <row r="10" spans="1:8" ht="12.75">
      <c r="A10" s="116" t="s">
        <v>171</v>
      </c>
      <c r="B10" s="235">
        <f>'HV-HC orig'!F66</f>
        <v>-464.48999999999796</v>
      </c>
      <c r="C10" s="117"/>
      <c r="D10" s="117">
        <f>'HV-JC orig'!E67</f>
        <v>1370.96</v>
      </c>
      <c r="E10" s="117"/>
      <c r="F10" s="117">
        <f t="shared" si="0"/>
        <v>906.4700000000021</v>
      </c>
      <c r="G10" s="114">
        <f t="shared" si="1"/>
        <v>0</v>
      </c>
      <c r="H10" s="115">
        <f t="shared" si="2"/>
        <v>906.4700000000021</v>
      </c>
    </row>
    <row r="11" spans="1:8" ht="12.75">
      <c r="A11" s="116" t="s">
        <v>7</v>
      </c>
      <c r="B11" s="139">
        <f>'HV-HC orig'!G66</f>
        <v>2951.7200000000303</v>
      </c>
      <c r="C11" s="117">
        <f>'HV-HC orig'!G67</f>
        <v>1761.2</v>
      </c>
      <c r="D11" s="117">
        <f>'HV-JC orig'!F67</f>
        <v>66.65999999999985</v>
      </c>
      <c r="E11" s="117"/>
      <c r="F11" s="117">
        <f t="shared" si="0"/>
        <v>3018.38000000003</v>
      </c>
      <c r="G11" s="114">
        <f t="shared" si="1"/>
        <v>1761.2</v>
      </c>
      <c r="H11" s="115">
        <f t="shared" si="2"/>
        <v>1257.18000000003</v>
      </c>
    </row>
    <row r="12" spans="1:8" ht="12.75">
      <c r="A12" s="116" t="s">
        <v>8</v>
      </c>
      <c r="B12" s="119">
        <f>'HV-HC orig'!H66</f>
        <v>904.8600000000006</v>
      </c>
      <c r="C12" s="117">
        <f>'HV-HC orig'!H67</f>
        <v>77.21</v>
      </c>
      <c r="D12" s="117">
        <f>'HV-JC orig'!G67</f>
        <v>148.53999999999996</v>
      </c>
      <c r="E12" s="117">
        <f>'HV-JC orig'!G68</f>
        <v>15.65</v>
      </c>
      <c r="F12" s="117">
        <f t="shared" si="0"/>
        <v>1053.4000000000005</v>
      </c>
      <c r="G12" s="114">
        <f t="shared" si="1"/>
        <v>92.86</v>
      </c>
      <c r="H12" s="115">
        <f t="shared" si="2"/>
        <v>960.5400000000005</v>
      </c>
    </row>
    <row r="13" spans="1:8" ht="12.75">
      <c r="A13" s="116" t="s">
        <v>9</v>
      </c>
      <c r="B13" s="134">
        <f>'HV-HC orig'!I66</f>
        <v>3471.0699999999997</v>
      </c>
      <c r="C13" s="117"/>
      <c r="D13" s="117">
        <f>'HV-JC orig'!H67</f>
        <v>47.53999999999999</v>
      </c>
      <c r="E13" s="117"/>
      <c r="F13" s="117">
        <f t="shared" si="0"/>
        <v>3518.6099999999997</v>
      </c>
      <c r="G13" s="114">
        <f t="shared" si="1"/>
        <v>0</v>
      </c>
      <c r="H13" s="115">
        <f t="shared" si="2"/>
        <v>3518.6099999999997</v>
      </c>
    </row>
    <row r="14" spans="1:8" ht="12.75">
      <c r="A14" s="116" t="s">
        <v>10</v>
      </c>
      <c r="B14" s="235">
        <f>'HV-HC orig'!J66</f>
        <v>423.869999999999</v>
      </c>
      <c r="C14" s="117"/>
      <c r="D14" s="117"/>
      <c r="E14" s="117"/>
      <c r="F14" s="117">
        <f t="shared" si="0"/>
        <v>423.869999999999</v>
      </c>
      <c r="G14" s="114">
        <f t="shared" si="1"/>
        <v>0</v>
      </c>
      <c r="H14" s="115">
        <f t="shared" si="2"/>
        <v>423.869999999999</v>
      </c>
    </row>
    <row r="15" spans="1:8" ht="12.75">
      <c r="A15" s="118" t="s">
        <v>11</v>
      </c>
      <c r="B15" s="134">
        <f>'HV-HC orig'!K66</f>
        <v>611.6099999999569</v>
      </c>
      <c r="C15" s="119"/>
      <c r="D15" s="117">
        <f>'HV-JC orig'!I67</f>
        <v>41.05999999999949</v>
      </c>
      <c r="E15" s="117"/>
      <c r="F15" s="117">
        <f t="shared" si="0"/>
        <v>652.6699999999564</v>
      </c>
      <c r="G15" s="114">
        <f t="shared" si="1"/>
        <v>0</v>
      </c>
      <c r="H15" s="115">
        <f t="shared" si="2"/>
        <v>652.6699999999564</v>
      </c>
    </row>
    <row r="16" spans="1:8" ht="12.75">
      <c r="A16" s="116" t="s">
        <v>343</v>
      </c>
      <c r="B16" s="134">
        <f>'HV-HC orig'!L66</f>
        <v>78481.55000000002</v>
      </c>
      <c r="C16" s="119">
        <f>'HV-HC orig'!L67</f>
        <v>300.44</v>
      </c>
      <c r="D16" s="117"/>
      <c r="E16" s="117"/>
      <c r="F16" s="117">
        <f t="shared" si="0"/>
        <v>78481.55000000002</v>
      </c>
      <c r="G16" s="114">
        <f t="shared" si="1"/>
        <v>300.44</v>
      </c>
      <c r="H16" s="115">
        <f t="shared" si="2"/>
        <v>78181.11000000002</v>
      </c>
    </row>
    <row r="17" spans="1:8" ht="12.75">
      <c r="A17" s="116" t="s">
        <v>12</v>
      </c>
      <c r="B17" s="134">
        <f>'HV-HC orig'!M66</f>
        <v>17.269999999998618</v>
      </c>
      <c r="C17" s="119"/>
      <c r="D17" s="117"/>
      <c r="E17" s="117"/>
      <c r="F17" s="117">
        <f t="shared" si="0"/>
        <v>17.269999999998618</v>
      </c>
      <c r="G17" s="114">
        <f t="shared" si="1"/>
        <v>0</v>
      </c>
      <c r="H17" s="115">
        <f t="shared" si="2"/>
        <v>17.269999999998618</v>
      </c>
    </row>
    <row r="18" spans="1:8" ht="12.75">
      <c r="A18" s="116" t="s">
        <v>13</v>
      </c>
      <c r="B18" s="134">
        <f>'HV-HC orig'!N66</f>
        <v>21975.039999999994</v>
      </c>
      <c r="C18" s="117">
        <f>'HV-HC orig'!N67</f>
        <v>193.61</v>
      </c>
      <c r="D18" s="117"/>
      <c r="E18" s="117"/>
      <c r="F18" s="117">
        <f t="shared" si="0"/>
        <v>21975.039999999994</v>
      </c>
      <c r="G18" s="114">
        <f t="shared" si="1"/>
        <v>193.61</v>
      </c>
      <c r="H18" s="115">
        <f t="shared" si="2"/>
        <v>21781.429999999993</v>
      </c>
    </row>
    <row r="19" spans="1:8" ht="12.75">
      <c r="A19" s="116" t="s">
        <v>344</v>
      </c>
      <c r="B19" s="134">
        <f>'HV-HC orig'!O66</f>
        <v>21721.88000000002</v>
      </c>
      <c r="C19" s="117"/>
      <c r="D19" s="117">
        <f>'HV-JC orig'!J67</f>
        <v>10</v>
      </c>
      <c r="E19" s="117">
        <f>'HV-JC orig'!J68</f>
        <v>1.4</v>
      </c>
      <c r="F19" s="117">
        <f>D19+B19</f>
        <v>21731.88000000002</v>
      </c>
      <c r="G19" s="114">
        <f>C19+E19</f>
        <v>1.4</v>
      </c>
      <c r="H19" s="115">
        <f>F19-G19</f>
        <v>21730.480000000018</v>
      </c>
    </row>
    <row r="20" spans="1:8" ht="12.75">
      <c r="A20" s="116" t="s">
        <v>28</v>
      </c>
      <c r="B20" s="134">
        <f>'HV-HC orig'!P66</f>
        <v>542.5700000000006</v>
      </c>
      <c r="C20" s="117"/>
      <c r="D20" s="117"/>
      <c r="E20" s="117"/>
      <c r="F20" s="117">
        <f t="shared" si="0"/>
        <v>542.5700000000006</v>
      </c>
      <c r="G20" s="114">
        <f t="shared" si="1"/>
        <v>0</v>
      </c>
      <c r="H20" s="115">
        <f t="shared" si="2"/>
        <v>542.5700000000006</v>
      </c>
    </row>
    <row r="21" spans="1:8" ht="12.75">
      <c r="A21" s="116" t="s">
        <v>15</v>
      </c>
      <c r="B21" s="134">
        <f>'HV-HC orig'!Q66</f>
        <v>374.47000000000025</v>
      </c>
      <c r="C21" s="120"/>
      <c r="D21" s="117">
        <f>'HV-JC orig'!K67</f>
        <v>120.26000000000022</v>
      </c>
      <c r="E21" s="117"/>
      <c r="F21" s="117">
        <f t="shared" si="0"/>
        <v>494.7300000000005</v>
      </c>
      <c r="G21" s="114">
        <f t="shared" si="1"/>
        <v>0</v>
      </c>
      <c r="H21" s="115">
        <f t="shared" si="2"/>
        <v>494.7300000000005</v>
      </c>
    </row>
    <row r="22" spans="1:8" ht="12.75">
      <c r="A22" s="116" t="s">
        <v>16</v>
      </c>
      <c r="B22" s="134">
        <f>'HV-HC orig'!R66</f>
        <v>0</v>
      </c>
      <c r="C22" s="117"/>
      <c r="D22" s="117"/>
      <c r="E22" s="117"/>
      <c r="F22" s="117">
        <f t="shared" si="0"/>
        <v>0</v>
      </c>
      <c r="G22" s="114">
        <f t="shared" si="1"/>
        <v>0</v>
      </c>
      <c r="H22" s="115">
        <f t="shared" si="2"/>
        <v>0</v>
      </c>
    </row>
    <row r="23" spans="1:8" ht="13.5" thickBot="1">
      <c r="A23" s="121" t="s">
        <v>172</v>
      </c>
      <c r="B23" s="122">
        <f aca="true" t="shared" si="3" ref="B23:H23">SUM(B8:B22)</f>
        <v>135531.15000000008</v>
      </c>
      <c r="C23" s="122">
        <f t="shared" si="3"/>
        <v>2332.46</v>
      </c>
      <c r="D23" s="122">
        <f t="shared" si="3"/>
        <v>1846.0699999999997</v>
      </c>
      <c r="E23" s="122">
        <f t="shared" si="3"/>
        <v>17.05</v>
      </c>
      <c r="F23" s="122">
        <f t="shared" si="3"/>
        <v>137377.2200000001</v>
      </c>
      <c r="G23" s="122">
        <f>SUM(G8:G22)</f>
        <v>2349.51</v>
      </c>
      <c r="H23" s="123">
        <f t="shared" si="3"/>
        <v>135027.71000000008</v>
      </c>
    </row>
  </sheetData>
  <mergeCells count="5">
    <mergeCell ref="H6:H7"/>
    <mergeCell ref="A6:A7"/>
    <mergeCell ref="B6:C6"/>
    <mergeCell ref="D6:E6"/>
    <mergeCell ref="F6:G6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69"/>
  <sheetViews>
    <sheetView zoomScale="75" zoomScaleNormal="75" workbookViewId="0" topLeftCell="A1">
      <pane xSplit="3" ySplit="7" topLeftCell="F3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50" sqref="S50"/>
    </sheetView>
  </sheetViews>
  <sheetFormatPr defaultColWidth="9.140625" defaultRowHeight="12.75"/>
  <cols>
    <col min="1" max="1" width="6.7109375" style="102" customWidth="1"/>
    <col min="2" max="2" width="43.140625" style="102" customWidth="1"/>
    <col min="3" max="3" width="7.140625" style="102" bestFit="1" customWidth="1"/>
    <col min="4" max="5" width="8.7109375" style="102" bestFit="1" customWidth="1"/>
    <col min="6" max="6" width="7.140625" style="102" customWidth="1"/>
    <col min="7" max="8" width="8.7109375" style="102" bestFit="1" customWidth="1"/>
    <col min="9" max="9" width="7.57421875" style="102" bestFit="1" customWidth="1"/>
    <col min="10" max="10" width="8.140625" style="102" bestFit="1" customWidth="1"/>
    <col min="11" max="12" width="8.7109375" style="102" bestFit="1" customWidth="1"/>
    <col min="13" max="13" width="7.57421875" style="102" bestFit="1" customWidth="1"/>
    <col min="14" max="15" width="8.7109375" style="102" bestFit="1" customWidth="1"/>
    <col min="16" max="16" width="7.7109375" style="102" customWidth="1"/>
    <col min="17" max="17" width="7.57421875" style="102" bestFit="1" customWidth="1"/>
    <col min="18" max="18" width="7.7109375" style="102" customWidth="1"/>
    <col min="19" max="19" width="10.57421875" style="102" customWidth="1"/>
    <col min="20" max="16384" width="9.140625" style="102" customWidth="1"/>
  </cols>
  <sheetData>
    <row r="1" spans="15:19" ht="15.75">
      <c r="O1"/>
      <c r="R1" s="110"/>
      <c r="S1" s="146" t="s">
        <v>284</v>
      </c>
    </row>
    <row r="2" spans="1:20" ht="15.75">
      <c r="A2" s="103" t="s">
        <v>348</v>
      </c>
      <c r="B2" s="98"/>
      <c r="C2" s="98"/>
      <c r="D2" s="98"/>
      <c r="E2" s="98"/>
      <c r="F2" s="98"/>
      <c r="G2" s="98"/>
      <c r="H2" s="98"/>
      <c r="I2" s="98"/>
      <c r="J2" s="100"/>
      <c r="L2" s="100"/>
      <c r="M2" s="100"/>
      <c r="N2" s="100"/>
      <c r="O2"/>
      <c r="P2" s="100"/>
      <c r="S2" s="100"/>
      <c r="T2" s="104"/>
    </row>
    <row r="3" spans="1:19" ht="15.75">
      <c r="A3" s="103"/>
      <c r="B3" s="103"/>
      <c r="C3" s="103"/>
      <c r="D3" s="103"/>
      <c r="E3" s="103"/>
      <c r="F3" s="103"/>
      <c r="G3" s="103"/>
      <c r="H3" s="103"/>
      <c r="I3" s="103"/>
      <c r="J3" s="105"/>
      <c r="K3" s="105"/>
      <c r="L3" s="105"/>
      <c r="M3" s="105"/>
      <c r="N3" s="105"/>
      <c r="O3"/>
      <c r="P3" s="105"/>
      <c r="Q3" s="105"/>
      <c r="R3" s="105"/>
      <c r="S3" s="105"/>
    </row>
    <row r="4" spans="3:20" ht="15.75"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382"/>
      <c r="P4" s="105"/>
      <c r="Q4" s="105"/>
      <c r="R4" s="105"/>
      <c r="S4" s="105"/>
      <c r="T4" s="105"/>
    </row>
    <row r="5" ht="15">
      <c r="O5" s="100"/>
    </row>
    <row r="6" spans="15:19" ht="16.5" thickBot="1">
      <c r="O6" s="383"/>
      <c r="S6" s="109" t="s">
        <v>34</v>
      </c>
    </row>
    <row r="7" spans="1:19" ht="13.5" thickBot="1">
      <c r="A7" s="286" t="s">
        <v>35</v>
      </c>
      <c r="B7" s="287" t="s">
        <v>36</v>
      </c>
      <c r="C7" s="288" t="s">
        <v>37</v>
      </c>
      <c r="D7" s="289" t="s">
        <v>158</v>
      </c>
      <c r="E7" s="289" t="s">
        <v>38</v>
      </c>
      <c r="F7" s="289" t="s">
        <v>39</v>
      </c>
      <c r="G7" s="289" t="s">
        <v>271</v>
      </c>
      <c r="H7" s="289" t="s">
        <v>272</v>
      </c>
      <c r="I7" s="289" t="s">
        <v>273</v>
      </c>
      <c r="J7" s="289" t="s">
        <v>159</v>
      </c>
      <c r="K7" s="289" t="s">
        <v>40</v>
      </c>
      <c r="L7" s="289" t="s">
        <v>349</v>
      </c>
      <c r="M7" s="289" t="s">
        <v>160</v>
      </c>
      <c r="N7" s="289" t="s">
        <v>161</v>
      </c>
      <c r="O7" s="289" t="s">
        <v>350</v>
      </c>
      <c r="P7" s="289" t="s">
        <v>274</v>
      </c>
      <c r="Q7" s="289" t="s">
        <v>41</v>
      </c>
      <c r="R7" s="289" t="s">
        <v>162</v>
      </c>
      <c r="S7" s="290" t="s">
        <v>163</v>
      </c>
    </row>
    <row r="8" spans="1:19" s="383" customFormat="1" ht="14.25" customHeight="1">
      <c r="A8" s="291" t="s">
        <v>42</v>
      </c>
      <c r="B8" s="292" t="s">
        <v>43</v>
      </c>
      <c r="C8" s="293">
        <v>1</v>
      </c>
      <c r="D8" s="294">
        <v>2800.32</v>
      </c>
      <c r="E8" s="294">
        <v>14235.18</v>
      </c>
      <c r="F8" s="294">
        <v>2787.63</v>
      </c>
      <c r="G8" s="294">
        <v>4650.57</v>
      </c>
      <c r="H8" s="294">
        <v>1729.44</v>
      </c>
      <c r="I8" s="294">
        <v>2261.67</v>
      </c>
      <c r="J8" s="294">
        <v>2025.99</v>
      </c>
      <c r="K8" s="294">
        <v>7894.17</v>
      </c>
      <c r="L8" s="294">
        <v>34286.49</v>
      </c>
      <c r="M8" s="294">
        <v>79.85</v>
      </c>
      <c r="N8" s="294">
        <v>7612.53</v>
      </c>
      <c r="O8" s="294">
        <v>6586.29</v>
      </c>
      <c r="P8" s="294">
        <v>554.76</v>
      </c>
      <c r="Q8" s="294">
        <v>487.33</v>
      </c>
      <c r="R8" s="294">
        <v>627.32</v>
      </c>
      <c r="S8" s="295">
        <f aca="true" t="shared" si="0" ref="S8:S37">SUM(D8:R8)</f>
        <v>88619.54</v>
      </c>
    </row>
    <row r="9" spans="1:19" s="383" customFormat="1" ht="14.25" customHeight="1">
      <c r="A9" s="296" t="s">
        <v>44</v>
      </c>
      <c r="B9" s="297" t="s">
        <v>45</v>
      </c>
      <c r="C9" s="298">
        <v>2</v>
      </c>
      <c r="D9" s="299">
        <v>901.2</v>
      </c>
      <c r="E9" s="299">
        <v>1797.8</v>
      </c>
      <c r="F9" s="299">
        <v>620.31</v>
      </c>
      <c r="G9" s="299">
        <v>3453.15</v>
      </c>
      <c r="H9" s="299">
        <v>1108.24</v>
      </c>
      <c r="I9" s="299">
        <v>5.31</v>
      </c>
      <c r="J9" s="299">
        <v>691.59</v>
      </c>
      <c r="K9" s="299">
        <v>866.43</v>
      </c>
      <c r="L9" s="299">
        <v>8768.82</v>
      </c>
      <c r="M9" s="299">
        <v>65.97</v>
      </c>
      <c r="N9" s="299">
        <v>5929.7</v>
      </c>
      <c r="O9" s="299">
        <v>2926.64</v>
      </c>
      <c r="P9" s="299">
        <v>284.72</v>
      </c>
      <c r="Q9" s="299">
        <v>487.61</v>
      </c>
      <c r="R9" s="299">
        <v>50.87</v>
      </c>
      <c r="S9" s="300">
        <f t="shared" si="0"/>
        <v>27958.36</v>
      </c>
    </row>
    <row r="10" spans="1:19" s="383" customFormat="1" ht="14.25" customHeight="1">
      <c r="A10" s="296" t="s">
        <v>46</v>
      </c>
      <c r="B10" s="297" t="s">
        <v>47</v>
      </c>
      <c r="C10" s="298">
        <v>3</v>
      </c>
      <c r="D10" s="299">
        <v>0</v>
      </c>
      <c r="E10" s="299">
        <v>195.97</v>
      </c>
      <c r="F10" s="299">
        <v>0</v>
      </c>
      <c r="G10" s="299">
        <v>0</v>
      </c>
      <c r="H10" s="299">
        <v>0</v>
      </c>
      <c r="I10" s="299">
        <v>0</v>
      </c>
      <c r="J10" s="299">
        <v>0</v>
      </c>
      <c r="K10" s="299">
        <v>0</v>
      </c>
      <c r="L10" s="299">
        <v>0</v>
      </c>
      <c r="M10" s="299">
        <v>0</v>
      </c>
      <c r="N10" s="299">
        <v>0</v>
      </c>
      <c r="O10" s="299">
        <v>0</v>
      </c>
      <c r="P10" s="299">
        <v>0</v>
      </c>
      <c r="Q10" s="299">
        <v>0</v>
      </c>
      <c r="R10" s="299">
        <v>15.57</v>
      </c>
      <c r="S10" s="300">
        <f t="shared" si="0"/>
        <v>211.54</v>
      </c>
    </row>
    <row r="11" spans="1:19" s="383" customFormat="1" ht="14.25" customHeight="1">
      <c r="A11" s="296" t="s">
        <v>48</v>
      </c>
      <c r="B11" s="297" t="s">
        <v>49</v>
      </c>
      <c r="C11" s="298">
        <v>4</v>
      </c>
      <c r="D11" s="299">
        <v>0</v>
      </c>
      <c r="E11" s="299">
        <v>0</v>
      </c>
      <c r="F11" s="299">
        <v>0</v>
      </c>
      <c r="G11" s="299">
        <v>0</v>
      </c>
      <c r="H11" s="299">
        <v>77.49</v>
      </c>
      <c r="I11" s="299">
        <v>0</v>
      </c>
      <c r="J11" s="299">
        <v>0</v>
      </c>
      <c r="K11" s="299">
        <v>0</v>
      </c>
      <c r="L11" s="299">
        <v>0</v>
      </c>
      <c r="M11" s="299">
        <v>0</v>
      </c>
      <c r="N11" s="299">
        <v>0</v>
      </c>
      <c r="O11" s="299">
        <v>0</v>
      </c>
      <c r="P11" s="299">
        <v>0</v>
      </c>
      <c r="Q11" s="299">
        <v>0</v>
      </c>
      <c r="R11" s="299">
        <v>0</v>
      </c>
      <c r="S11" s="300">
        <f t="shared" si="0"/>
        <v>77.49</v>
      </c>
    </row>
    <row r="12" spans="1:19" s="383" customFormat="1" ht="14.25" customHeight="1">
      <c r="A12" s="296" t="s">
        <v>50</v>
      </c>
      <c r="B12" s="297" t="s">
        <v>51</v>
      </c>
      <c r="C12" s="298">
        <v>5</v>
      </c>
      <c r="D12" s="299">
        <v>42.76</v>
      </c>
      <c r="E12" s="299">
        <v>593.35</v>
      </c>
      <c r="F12" s="299">
        <v>112.5</v>
      </c>
      <c r="G12" s="299">
        <v>1886.6</v>
      </c>
      <c r="H12" s="299">
        <v>2995.55</v>
      </c>
      <c r="I12" s="299">
        <v>58.43</v>
      </c>
      <c r="J12" s="299">
        <v>163.98</v>
      </c>
      <c r="K12" s="299">
        <v>479.94</v>
      </c>
      <c r="L12" s="299">
        <v>442.08</v>
      </c>
      <c r="M12" s="299">
        <v>0</v>
      </c>
      <c r="N12" s="299">
        <v>2216.95</v>
      </c>
      <c r="O12" s="299">
        <v>755.7</v>
      </c>
      <c r="P12" s="299">
        <v>93.6</v>
      </c>
      <c r="Q12" s="299">
        <v>116.04</v>
      </c>
      <c r="R12" s="299">
        <v>14.43</v>
      </c>
      <c r="S12" s="300">
        <f t="shared" si="0"/>
        <v>9971.910000000002</v>
      </c>
    </row>
    <row r="13" spans="1:19" s="383" customFormat="1" ht="14.25" customHeight="1">
      <c r="A13" s="296" t="s">
        <v>52</v>
      </c>
      <c r="B13" s="297" t="s">
        <v>53</v>
      </c>
      <c r="C13" s="298">
        <v>6</v>
      </c>
      <c r="D13" s="299">
        <v>2150.08</v>
      </c>
      <c r="E13" s="299">
        <v>14237.21</v>
      </c>
      <c r="F13" s="299">
        <v>6</v>
      </c>
      <c r="G13" s="299">
        <v>1598.77</v>
      </c>
      <c r="H13" s="299">
        <v>1810.58</v>
      </c>
      <c r="I13" s="299">
        <v>529.24</v>
      </c>
      <c r="J13" s="299">
        <v>265.32</v>
      </c>
      <c r="K13" s="299">
        <v>1896.56</v>
      </c>
      <c r="L13" s="299">
        <v>440.03</v>
      </c>
      <c r="M13" s="299">
        <v>1101.97</v>
      </c>
      <c r="N13" s="299">
        <v>1194.43</v>
      </c>
      <c r="O13" s="299">
        <v>995.73</v>
      </c>
      <c r="P13" s="299">
        <v>249.7</v>
      </c>
      <c r="Q13" s="299">
        <v>12.64</v>
      </c>
      <c r="R13" s="299">
        <v>488.94</v>
      </c>
      <c r="S13" s="300">
        <f t="shared" si="0"/>
        <v>26977.2</v>
      </c>
    </row>
    <row r="14" spans="1:19" s="383" customFormat="1" ht="14.25" customHeight="1">
      <c r="A14" s="296" t="s">
        <v>54</v>
      </c>
      <c r="B14" s="297" t="s">
        <v>55</v>
      </c>
      <c r="C14" s="298">
        <v>7</v>
      </c>
      <c r="D14" s="299">
        <v>167.99</v>
      </c>
      <c r="E14" s="299">
        <v>45.81</v>
      </c>
      <c r="F14" s="299">
        <v>0</v>
      </c>
      <c r="G14" s="299">
        <v>51.51</v>
      </c>
      <c r="H14" s="299">
        <v>332.73</v>
      </c>
      <c r="I14" s="299">
        <v>117.73</v>
      </c>
      <c r="J14" s="299">
        <v>90.92</v>
      </c>
      <c r="K14" s="299">
        <v>246.62</v>
      </c>
      <c r="L14" s="299">
        <v>25.24</v>
      </c>
      <c r="M14" s="299">
        <v>0</v>
      </c>
      <c r="N14" s="299">
        <v>41.73</v>
      </c>
      <c r="O14" s="299">
        <v>38.75</v>
      </c>
      <c r="P14" s="299">
        <v>28.65</v>
      </c>
      <c r="Q14" s="299">
        <v>64.01</v>
      </c>
      <c r="R14" s="299">
        <v>2.65</v>
      </c>
      <c r="S14" s="300">
        <f t="shared" si="0"/>
        <v>1254.3400000000001</v>
      </c>
    </row>
    <row r="15" spans="1:19" s="383" customFormat="1" ht="14.25" customHeight="1">
      <c r="A15" s="296" t="s">
        <v>56</v>
      </c>
      <c r="B15" s="297" t="s">
        <v>57</v>
      </c>
      <c r="C15" s="298">
        <v>8</v>
      </c>
      <c r="D15" s="299">
        <v>4980.34</v>
      </c>
      <c r="E15" s="299">
        <v>40781.21</v>
      </c>
      <c r="F15" s="299">
        <v>482.56</v>
      </c>
      <c r="G15" s="299">
        <v>20419.88</v>
      </c>
      <c r="H15" s="299">
        <v>9307.16</v>
      </c>
      <c r="I15" s="299">
        <v>13177.69</v>
      </c>
      <c r="J15" s="299">
        <v>2207.27</v>
      </c>
      <c r="K15" s="299">
        <v>81278.43</v>
      </c>
      <c r="L15" s="299">
        <v>140332.58</v>
      </c>
      <c r="M15" s="299">
        <v>1573.8</v>
      </c>
      <c r="N15" s="299">
        <v>23730.68</v>
      </c>
      <c r="O15" s="299">
        <v>28703.77</v>
      </c>
      <c r="P15" s="299">
        <v>1180.45</v>
      </c>
      <c r="Q15" s="299">
        <v>739.09</v>
      </c>
      <c r="R15" s="299">
        <v>8437.6</v>
      </c>
      <c r="S15" s="300">
        <f t="shared" si="0"/>
        <v>377332.51</v>
      </c>
    </row>
    <row r="16" spans="1:19" s="383" customFormat="1" ht="14.25" customHeight="1">
      <c r="A16" s="296" t="s">
        <v>58</v>
      </c>
      <c r="B16" s="297" t="s">
        <v>59</v>
      </c>
      <c r="C16" s="298">
        <v>9</v>
      </c>
      <c r="D16" s="299">
        <v>54314.49</v>
      </c>
      <c r="E16" s="299">
        <v>43514.31</v>
      </c>
      <c r="F16" s="299">
        <v>2412.74</v>
      </c>
      <c r="G16" s="299">
        <v>55483.3</v>
      </c>
      <c r="H16" s="299">
        <v>56725.49</v>
      </c>
      <c r="I16" s="299">
        <v>34144.21</v>
      </c>
      <c r="J16" s="299">
        <v>5403</v>
      </c>
      <c r="K16" s="299">
        <v>32021.56</v>
      </c>
      <c r="L16" s="299">
        <v>40904.39</v>
      </c>
      <c r="M16" s="299">
        <v>0</v>
      </c>
      <c r="N16" s="299">
        <v>62893.33</v>
      </c>
      <c r="O16" s="299">
        <v>39938.45</v>
      </c>
      <c r="P16" s="299">
        <v>2666</v>
      </c>
      <c r="Q16" s="299">
        <v>2124.07</v>
      </c>
      <c r="R16" s="299">
        <v>3052</v>
      </c>
      <c r="S16" s="300">
        <f t="shared" si="0"/>
        <v>435597.34</v>
      </c>
    </row>
    <row r="17" spans="1:19" s="383" customFormat="1" ht="14.25" customHeight="1">
      <c r="A17" s="296" t="s">
        <v>60</v>
      </c>
      <c r="B17" s="297" t="s">
        <v>61</v>
      </c>
      <c r="C17" s="298">
        <v>10</v>
      </c>
      <c r="D17" s="299">
        <v>16202.48</v>
      </c>
      <c r="E17" s="299">
        <v>13616.23</v>
      </c>
      <c r="F17" s="299">
        <v>708.71</v>
      </c>
      <c r="G17" s="299">
        <v>17125.93</v>
      </c>
      <c r="H17" s="299">
        <v>17391.58</v>
      </c>
      <c r="I17" s="299">
        <v>9448.73</v>
      </c>
      <c r="J17" s="299">
        <v>1691.97</v>
      </c>
      <c r="K17" s="299">
        <v>9667.04</v>
      </c>
      <c r="L17" s="299">
        <v>13126.74</v>
      </c>
      <c r="M17" s="299">
        <v>0</v>
      </c>
      <c r="N17" s="299">
        <v>15946.74</v>
      </c>
      <c r="O17" s="299">
        <v>10272.17</v>
      </c>
      <c r="P17" s="299">
        <v>639.61</v>
      </c>
      <c r="Q17" s="299">
        <v>680.49</v>
      </c>
      <c r="R17" s="299">
        <v>893.26</v>
      </c>
      <c r="S17" s="300">
        <f t="shared" si="0"/>
        <v>127411.68000000002</v>
      </c>
    </row>
    <row r="18" spans="1:19" s="383" customFormat="1" ht="14.25" customHeight="1">
      <c r="A18" s="296" t="s">
        <v>62</v>
      </c>
      <c r="B18" s="297" t="s">
        <v>63</v>
      </c>
      <c r="C18" s="298">
        <v>11</v>
      </c>
      <c r="D18" s="299">
        <v>0</v>
      </c>
      <c r="E18" s="299">
        <v>0</v>
      </c>
      <c r="F18" s="299">
        <v>0</v>
      </c>
      <c r="G18" s="299">
        <v>0</v>
      </c>
      <c r="H18" s="299">
        <v>0</v>
      </c>
      <c r="I18" s="299">
        <v>0</v>
      </c>
      <c r="J18" s="299">
        <v>0</v>
      </c>
      <c r="K18" s="299">
        <v>0</v>
      </c>
      <c r="L18" s="299">
        <v>0</v>
      </c>
      <c r="M18" s="299">
        <v>0</v>
      </c>
      <c r="N18" s="299">
        <v>0</v>
      </c>
      <c r="O18" s="299">
        <v>0</v>
      </c>
      <c r="P18" s="299">
        <v>8.93</v>
      </c>
      <c r="Q18" s="299">
        <v>0</v>
      </c>
      <c r="R18" s="299">
        <v>0</v>
      </c>
      <c r="S18" s="300">
        <f t="shared" si="0"/>
        <v>8.93</v>
      </c>
    </row>
    <row r="19" spans="1:19" s="383" customFormat="1" ht="14.25" customHeight="1">
      <c r="A19" s="296" t="s">
        <v>64</v>
      </c>
      <c r="B19" s="297" t="s">
        <v>65</v>
      </c>
      <c r="C19" s="298">
        <v>12</v>
      </c>
      <c r="D19" s="299">
        <v>111.93</v>
      </c>
      <c r="E19" s="299">
        <v>751.27</v>
      </c>
      <c r="F19" s="299">
        <v>44.11</v>
      </c>
      <c r="G19" s="299">
        <v>992.98</v>
      </c>
      <c r="H19" s="299">
        <v>894.44</v>
      </c>
      <c r="I19" s="299">
        <v>503.29</v>
      </c>
      <c r="J19" s="299">
        <v>91.08</v>
      </c>
      <c r="K19" s="299">
        <v>546.69</v>
      </c>
      <c r="L19" s="299">
        <v>807.1</v>
      </c>
      <c r="M19" s="299">
        <v>0</v>
      </c>
      <c r="N19" s="299">
        <v>612.15</v>
      </c>
      <c r="O19" s="299">
        <v>574.49</v>
      </c>
      <c r="P19" s="299">
        <v>32.5</v>
      </c>
      <c r="Q19" s="299">
        <v>40.42</v>
      </c>
      <c r="R19" s="299">
        <v>50.19</v>
      </c>
      <c r="S19" s="300">
        <f t="shared" si="0"/>
        <v>6052.639999999999</v>
      </c>
    </row>
    <row r="20" spans="1:19" s="383" customFormat="1" ht="14.25" customHeight="1">
      <c r="A20" s="296" t="s">
        <v>66</v>
      </c>
      <c r="B20" s="297" t="s">
        <v>67</v>
      </c>
      <c r="C20" s="298">
        <v>13</v>
      </c>
      <c r="D20" s="299">
        <v>231.63</v>
      </c>
      <c r="E20" s="299">
        <v>760.91</v>
      </c>
      <c r="F20" s="299">
        <v>5.23</v>
      </c>
      <c r="G20" s="299">
        <v>53.73</v>
      </c>
      <c r="H20" s="299">
        <v>62.4</v>
      </c>
      <c r="I20" s="299">
        <v>49.74</v>
      </c>
      <c r="J20" s="299">
        <v>13.19</v>
      </c>
      <c r="K20" s="299">
        <v>135.19</v>
      </c>
      <c r="L20" s="299">
        <v>1068.67</v>
      </c>
      <c r="M20" s="299">
        <v>0</v>
      </c>
      <c r="N20" s="299">
        <v>29.2</v>
      </c>
      <c r="O20" s="299">
        <v>40.2</v>
      </c>
      <c r="P20" s="299">
        <v>5.05</v>
      </c>
      <c r="Q20" s="299">
        <v>9.29</v>
      </c>
      <c r="R20" s="299">
        <v>4.96</v>
      </c>
      <c r="S20" s="300">
        <f t="shared" si="0"/>
        <v>2469.3900000000003</v>
      </c>
    </row>
    <row r="21" spans="1:19" s="383" customFormat="1" ht="14.25" customHeight="1">
      <c r="A21" s="296" t="s">
        <v>68</v>
      </c>
      <c r="B21" s="297" t="s">
        <v>69</v>
      </c>
      <c r="C21" s="298">
        <v>14</v>
      </c>
      <c r="D21" s="299">
        <v>0</v>
      </c>
      <c r="E21" s="299">
        <v>0</v>
      </c>
      <c r="F21" s="299">
        <v>4.2</v>
      </c>
      <c r="G21" s="299">
        <v>0</v>
      </c>
      <c r="H21" s="299">
        <v>0</v>
      </c>
      <c r="I21" s="299">
        <v>0</v>
      </c>
      <c r="J21" s="299">
        <v>3.6</v>
      </c>
      <c r="K21" s="299">
        <v>0</v>
      </c>
      <c r="L21" s="299">
        <v>0</v>
      </c>
      <c r="M21" s="299">
        <v>0</v>
      </c>
      <c r="N21" s="299">
        <v>0</v>
      </c>
      <c r="O21" s="299">
        <v>0</v>
      </c>
      <c r="P21" s="299">
        <v>1</v>
      </c>
      <c r="Q21" s="299">
        <v>0</v>
      </c>
      <c r="R21" s="299">
        <v>0</v>
      </c>
      <c r="S21" s="300">
        <f t="shared" si="0"/>
        <v>8.8</v>
      </c>
    </row>
    <row r="22" spans="1:19" s="383" customFormat="1" ht="14.25" customHeight="1">
      <c r="A22" s="296" t="s">
        <v>70</v>
      </c>
      <c r="B22" s="297" t="s">
        <v>71</v>
      </c>
      <c r="C22" s="298">
        <v>15</v>
      </c>
      <c r="D22" s="299">
        <v>0</v>
      </c>
      <c r="E22" s="299">
        <v>1.22</v>
      </c>
      <c r="F22" s="299">
        <v>0</v>
      </c>
      <c r="G22" s="299">
        <v>33.45</v>
      </c>
      <c r="H22" s="299">
        <v>2.56</v>
      </c>
      <c r="I22" s="299">
        <v>0</v>
      </c>
      <c r="J22" s="299">
        <v>0</v>
      </c>
      <c r="K22" s="299">
        <v>0</v>
      </c>
      <c r="L22" s="299">
        <v>0.32</v>
      </c>
      <c r="M22" s="299">
        <v>0</v>
      </c>
      <c r="N22" s="299">
        <v>9.19</v>
      </c>
      <c r="O22" s="299">
        <v>0</v>
      </c>
      <c r="P22" s="299">
        <v>0</v>
      </c>
      <c r="Q22" s="299">
        <v>11.24</v>
      </c>
      <c r="R22" s="299">
        <v>0</v>
      </c>
      <c r="S22" s="300">
        <f t="shared" si="0"/>
        <v>57.980000000000004</v>
      </c>
    </row>
    <row r="23" spans="1:19" s="383" customFormat="1" ht="14.25" customHeight="1">
      <c r="A23" s="296" t="s">
        <v>72</v>
      </c>
      <c r="B23" s="297" t="s">
        <v>73</v>
      </c>
      <c r="C23" s="298">
        <v>16</v>
      </c>
      <c r="D23" s="299">
        <v>8.54</v>
      </c>
      <c r="E23" s="299">
        <v>3.33</v>
      </c>
      <c r="F23" s="299">
        <v>0</v>
      </c>
      <c r="G23" s="299">
        <v>6.48</v>
      </c>
      <c r="H23" s="299">
        <v>3.01</v>
      </c>
      <c r="I23" s="299">
        <v>0</v>
      </c>
      <c r="J23" s="299">
        <v>0</v>
      </c>
      <c r="K23" s="299">
        <v>8.13</v>
      </c>
      <c r="L23" s="299">
        <v>0</v>
      </c>
      <c r="M23" s="299">
        <v>0</v>
      </c>
      <c r="N23" s="299">
        <v>38.82</v>
      </c>
      <c r="O23" s="299">
        <v>0</v>
      </c>
      <c r="P23" s="299">
        <v>0</v>
      </c>
      <c r="Q23" s="299">
        <v>17.94</v>
      </c>
      <c r="R23" s="299">
        <v>0</v>
      </c>
      <c r="S23" s="300">
        <f t="shared" si="0"/>
        <v>86.25</v>
      </c>
    </row>
    <row r="24" spans="1:19" s="383" customFormat="1" ht="14.25" customHeight="1">
      <c r="A24" s="296" t="s">
        <v>74</v>
      </c>
      <c r="B24" s="297" t="s">
        <v>75</v>
      </c>
      <c r="C24" s="298">
        <v>17</v>
      </c>
      <c r="D24" s="299">
        <v>0</v>
      </c>
      <c r="E24" s="299">
        <v>0</v>
      </c>
      <c r="F24" s="299">
        <v>0</v>
      </c>
      <c r="G24" s="299">
        <v>0</v>
      </c>
      <c r="H24" s="299">
        <v>0</v>
      </c>
      <c r="I24" s="299">
        <v>0</v>
      </c>
      <c r="J24" s="299">
        <v>0</v>
      </c>
      <c r="K24" s="299">
        <v>0</v>
      </c>
      <c r="L24" s="299">
        <v>0.83</v>
      </c>
      <c r="M24" s="299">
        <v>0</v>
      </c>
      <c r="N24" s="299">
        <v>0.4</v>
      </c>
      <c r="O24" s="299">
        <v>0.79</v>
      </c>
      <c r="P24" s="299">
        <v>0</v>
      </c>
      <c r="Q24" s="299">
        <v>0</v>
      </c>
      <c r="R24" s="299">
        <v>3.27</v>
      </c>
      <c r="S24" s="300">
        <f t="shared" si="0"/>
        <v>5.29</v>
      </c>
    </row>
    <row r="25" spans="1:19" s="383" customFormat="1" ht="14.25" customHeight="1">
      <c r="A25" s="296" t="s">
        <v>76</v>
      </c>
      <c r="B25" s="297" t="s">
        <v>77</v>
      </c>
      <c r="C25" s="298">
        <v>18</v>
      </c>
      <c r="D25" s="299">
        <v>0.62</v>
      </c>
      <c r="E25" s="299">
        <v>0</v>
      </c>
      <c r="F25" s="299">
        <v>5.4</v>
      </c>
      <c r="G25" s="299">
        <v>0</v>
      </c>
      <c r="H25" s="299">
        <v>175.33</v>
      </c>
      <c r="I25" s="299">
        <v>2.51</v>
      </c>
      <c r="J25" s="299">
        <v>0</v>
      </c>
      <c r="K25" s="299">
        <v>2.57</v>
      </c>
      <c r="L25" s="299">
        <v>0.19</v>
      </c>
      <c r="M25" s="299">
        <v>25.82</v>
      </c>
      <c r="N25" s="299">
        <v>0</v>
      </c>
      <c r="O25" s="299">
        <v>5</v>
      </c>
      <c r="P25" s="299">
        <v>0</v>
      </c>
      <c r="Q25" s="299">
        <v>0</v>
      </c>
      <c r="R25" s="299">
        <v>0</v>
      </c>
      <c r="S25" s="300">
        <f t="shared" si="0"/>
        <v>217.44</v>
      </c>
    </row>
    <row r="26" spans="1:19" s="383" customFormat="1" ht="14.25" customHeight="1">
      <c r="A26" s="296" t="s">
        <v>78</v>
      </c>
      <c r="B26" s="297" t="s">
        <v>79</v>
      </c>
      <c r="C26" s="298">
        <v>19</v>
      </c>
      <c r="D26" s="299">
        <v>0</v>
      </c>
      <c r="E26" s="299">
        <v>0</v>
      </c>
      <c r="F26" s="299">
        <v>0</v>
      </c>
      <c r="G26" s="299">
        <v>0</v>
      </c>
      <c r="H26" s="299">
        <v>0</v>
      </c>
      <c r="I26" s="299">
        <v>0</v>
      </c>
      <c r="J26" s="299">
        <v>0</v>
      </c>
      <c r="K26" s="299">
        <v>135.38</v>
      </c>
      <c r="L26" s="299">
        <v>10.82</v>
      </c>
      <c r="M26" s="299">
        <v>0</v>
      </c>
      <c r="N26" s="299">
        <v>0</v>
      </c>
      <c r="O26" s="299">
        <v>0</v>
      </c>
      <c r="P26" s="299">
        <v>0</v>
      </c>
      <c r="Q26" s="299">
        <v>0</v>
      </c>
      <c r="R26" s="299">
        <v>0</v>
      </c>
      <c r="S26" s="300">
        <f t="shared" si="0"/>
        <v>146.2</v>
      </c>
    </row>
    <row r="27" spans="1:19" s="383" customFormat="1" ht="14.25" customHeight="1">
      <c r="A27" s="296" t="s">
        <v>80</v>
      </c>
      <c r="B27" s="297" t="s">
        <v>81</v>
      </c>
      <c r="C27" s="298">
        <v>20</v>
      </c>
      <c r="D27" s="299">
        <v>0</v>
      </c>
      <c r="E27" s="299">
        <v>0</v>
      </c>
      <c r="F27" s="299">
        <v>0</v>
      </c>
      <c r="G27" s="299">
        <v>0</v>
      </c>
      <c r="H27" s="299">
        <v>0.1</v>
      </c>
      <c r="I27" s="299">
        <v>0</v>
      </c>
      <c r="J27" s="299">
        <v>0</v>
      </c>
      <c r="K27" s="299">
        <v>1.96</v>
      </c>
      <c r="L27" s="299">
        <v>0</v>
      </c>
      <c r="M27" s="299">
        <v>0</v>
      </c>
      <c r="N27" s="299">
        <v>0</v>
      </c>
      <c r="O27" s="299">
        <v>0</v>
      </c>
      <c r="P27" s="299">
        <v>0</v>
      </c>
      <c r="Q27" s="299">
        <v>0</v>
      </c>
      <c r="R27" s="299">
        <v>0</v>
      </c>
      <c r="S27" s="300">
        <f t="shared" si="0"/>
        <v>2.06</v>
      </c>
    </row>
    <row r="28" spans="1:19" s="383" customFormat="1" ht="14.25" customHeight="1">
      <c r="A28" s="296" t="s">
        <v>82</v>
      </c>
      <c r="B28" s="297" t="s">
        <v>83</v>
      </c>
      <c r="C28" s="298">
        <v>21</v>
      </c>
      <c r="D28" s="299">
        <v>1.44</v>
      </c>
      <c r="E28" s="299">
        <v>1593.16</v>
      </c>
      <c r="F28" s="299">
        <v>0</v>
      </c>
      <c r="G28" s="299">
        <v>131.81</v>
      </c>
      <c r="H28" s="299">
        <v>61.49</v>
      </c>
      <c r="I28" s="299">
        <v>0.2</v>
      </c>
      <c r="J28" s="299">
        <v>0</v>
      </c>
      <c r="K28" s="299">
        <v>4216.64</v>
      </c>
      <c r="L28" s="299">
        <v>42.73</v>
      </c>
      <c r="M28" s="299">
        <v>615.8</v>
      </c>
      <c r="N28" s="299">
        <v>8.53</v>
      </c>
      <c r="O28" s="299">
        <v>1.03</v>
      </c>
      <c r="P28" s="299">
        <v>2.46</v>
      </c>
      <c r="Q28" s="299">
        <v>0</v>
      </c>
      <c r="R28" s="299">
        <v>39.49</v>
      </c>
      <c r="S28" s="300">
        <f t="shared" si="0"/>
        <v>6714.78</v>
      </c>
    </row>
    <row r="29" spans="1:19" s="383" customFormat="1" ht="14.25" customHeight="1">
      <c r="A29" s="296" t="s">
        <v>84</v>
      </c>
      <c r="B29" s="297" t="s">
        <v>85</v>
      </c>
      <c r="C29" s="298">
        <v>22</v>
      </c>
      <c r="D29" s="299">
        <v>0</v>
      </c>
      <c r="E29" s="299">
        <v>0</v>
      </c>
      <c r="F29" s="299">
        <v>0</v>
      </c>
      <c r="G29" s="299">
        <v>0</v>
      </c>
      <c r="H29" s="299">
        <v>0</v>
      </c>
      <c r="I29" s="299">
        <v>0</v>
      </c>
      <c r="J29" s="299">
        <v>0</v>
      </c>
      <c r="K29" s="299">
        <v>0</v>
      </c>
      <c r="L29" s="299">
        <v>0</v>
      </c>
      <c r="M29" s="299">
        <v>0</v>
      </c>
      <c r="N29" s="299">
        <v>0</v>
      </c>
      <c r="O29" s="299">
        <v>0</v>
      </c>
      <c r="P29" s="299">
        <v>0</v>
      </c>
      <c r="Q29" s="299">
        <v>0</v>
      </c>
      <c r="R29" s="299">
        <v>0</v>
      </c>
      <c r="S29" s="300">
        <f t="shared" si="0"/>
        <v>0</v>
      </c>
    </row>
    <row r="30" spans="1:19" s="383" customFormat="1" ht="14.25" customHeight="1">
      <c r="A30" s="296" t="s">
        <v>86</v>
      </c>
      <c r="B30" s="297" t="s">
        <v>87</v>
      </c>
      <c r="C30" s="298">
        <v>23</v>
      </c>
      <c r="D30" s="299">
        <v>0</v>
      </c>
      <c r="E30" s="299">
        <v>0</v>
      </c>
      <c r="F30" s="299">
        <v>0</v>
      </c>
      <c r="G30" s="299">
        <v>0</v>
      </c>
      <c r="H30" s="299">
        <v>0</v>
      </c>
      <c r="I30" s="299">
        <v>0</v>
      </c>
      <c r="J30" s="299">
        <v>0</v>
      </c>
      <c r="K30" s="299">
        <v>0</v>
      </c>
      <c r="L30" s="299">
        <v>0</v>
      </c>
      <c r="M30" s="299">
        <v>0</v>
      </c>
      <c r="N30" s="299">
        <v>0</v>
      </c>
      <c r="O30" s="299">
        <v>0</v>
      </c>
      <c r="P30" s="299">
        <v>0</v>
      </c>
      <c r="Q30" s="299">
        <v>0</v>
      </c>
      <c r="R30" s="299">
        <v>0.35</v>
      </c>
      <c r="S30" s="300">
        <f t="shared" si="0"/>
        <v>0.35</v>
      </c>
    </row>
    <row r="31" spans="1:19" s="383" customFormat="1" ht="14.25" customHeight="1">
      <c r="A31" s="296" t="s">
        <v>88</v>
      </c>
      <c r="B31" s="297" t="s">
        <v>89</v>
      </c>
      <c r="C31" s="298">
        <v>24</v>
      </c>
      <c r="D31" s="299">
        <v>497.28</v>
      </c>
      <c r="E31" s="299">
        <v>525613.75</v>
      </c>
      <c r="F31" s="299">
        <v>67.65</v>
      </c>
      <c r="G31" s="299">
        <v>447.13</v>
      </c>
      <c r="H31" s="299">
        <v>1333.15</v>
      </c>
      <c r="I31" s="299">
        <v>469.87</v>
      </c>
      <c r="J31" s="299">
        <v>16.24</v>
      </c>
      <c r="K31" s="299">
        <v>1332.58</v>
      </c>
      <c r="L31" s="299">
        <v>1024.9</v>
      </c>
      <c r="M31" s="299">
        <v>9882.62</v>
      </c>
      <c r="N31" s="299">
        <v>1277.92</v>
      </c>
      <c r="O31" s="299">
        <v>266.78</v>
      </c>
      <c r="P31" s="299">
        <v>115.49</v>
      </c>
      <c r="Q31" s="299">
        <v>135.83</v>
      </c>
      <c r="R31" s="299">
        <v>199.38</v>
      </c>
      <c r="S31" s="300">
        <f t="shared" si="0"/>
        <v>542680.5700000001</v>
      </c>
    </row>
    <row r="32" spans="1:19" s="383" customFormat="1" ht="14.25" customHeight="1">
      <c r="A32" s="296" t="s">
        <v>90</v>
      </c>
      <c r="B32" s="297" t="s">
        <v>91</v>
      </c>
      <c r="C32" s="298">
        <v>25</v>
      </c>
      <c r="D32" s="299">
        <v>403.63</v>
      </c>
      <c r="E32" s="299">
        <v>4363.21</v>
      </c>
      <c r="F32" s="299">
        <v>1916.8</v>
      </c>
      <c r="G32" s="299">
        <v>6252.39</v>
      </c>
      <c r="H32" s="299">
        <v>1576.38</v>
      </c>
      <c r="I32" s="299">
        <v>720.96</v>
      </c>
      <c r="J32" s="299">
        <v>557.78</v>
      </c>
      <c r="K32" s="299">
        <v>3331.23</v>
      </c>
      <c r="L32" s="299">
        <v>11254</v>
      </c>
      <c r="M32" s="299">
        <v>0</v>
      </c>
      <c r="N32" s="299">
        <v>3704.22</v>
      </c>
      <c r="O32" s="299">
        <v>5818.59</v>
      </c>
      <c r="P32" s="299">
        <v>373.36</v>
      </c>
      <c r="Q32" s="299">
        <v>315.3</v>
      </c>
      <c r="R32" s="299">
        <v>1016.5</v>
      </c>
      <c r="S32" s="300">
        <f t="shared" si="0"/>
        <v>41604.350000000006</v>
      </c>
    </row>
    <row r="33" spans="1:19" s="383" customFormat="1" ht="14.25" customHeight="1">
      <c r="A33" s="296" t="s">
        <v>92</v>
      </c>
      <c r="B33" s="297" t="s">
        <v>93</v>
      </c>
      <c r="C33" s="298">
        <v>26</v>
      </c>
      <c r="D33" s="299">
        <v>0</v>
      </c>
      <c r="E33" s="299">
        <v>0</v>
      </c>
      <c r="F33" s="299">
        <v>0</v>
      </c>
      <c r="G33" s="299">
        <v>0</v>
      </c>
      <c r="H33" s="299">
        <v>0</v>
      </c>
      <c r="I33" s="299">
        <v>0</v>
      </c>
      <c r="J33" s="299">
        <v>0</v>
      </c>
      <c r="K33" s="299">
        <v>0</v>
      </c>
      <c r="L33" s="299">
        <v>0</v>
      </c>
      <c r="M33" s="299">
        <v>0</v>
      </c>
      <c r="N33" s="299">
        <v>0</v>
      </c>
      <c r="O33" s="299">
        <v>0</v>
      </c>
      <c r="P33" s="299">
        <v>0</v>
      </c>
      <c r="Q33" s="299">
        <v>0</v>
      </c>
      <c r="R33" s="299">
        <v>0</v>
      </c>
      <c r="S33" s="300">
        <f t="shared" si="0"/>
        <v>0</v>
      </c>
    </row>
    <row r="34" spans="1:19" s="383" customFormat="1" ht="14.25" customHeight="1">
      <c r="A34" s="296" t="s">
        <v>94</v>
      </c>
      <c r="B34" s="297" t="s">
        <v>95</v>
      </c>
      <c r="C34" s="298">
        <v>27</v>
      </c>
      <c r="D34" s="299">
        <v>0</v>
      </c>
      <c r="E34" s="299">
        <v>0</v>
      </c>
      <c r="F34" s="299">
        <v>0</v>
      </c>
      <c r="G34" s="299">
        <v>0</v>
      </c>
      <c r="H34" s="299">
        <v>0</v>
      </c>
      <c r="I34" s="299">
        <v>0</v>
      </c>
      <c r="J34" s="299">
        <v>0</v>
      </c>
      <c r="K34" s="299">
        <v>0</v>
      </c>
      <c r="L34" s="299">
        <v>0</v>
      </c>
      <c r="M34" s="299">
        <v>0</v>
      </c>
      <c r="N34" s="299">
        <v>0</v>
      </c>
      <c r="O34" s="299">
        <v>0</v>
      </c>
      <c r="P34" s="299">
        <v>0</v>
      </c>
      <c r="Q34" s="299">
        <v>0</v>
      </c>
      <c r="R34" s="299">
        <v>0</v>
      </c>
      <c r="S34" s="300">
        <f t="shared" si="0"/>
        <v>0</v>
      </c>
    </row>
    <row r="35" spans="1:19" s="383" customFormat="1" ht="14.25" customHeight="1">
      <c r="A35" s="296" t="s">
        <v>96</v>
      </c>
      <c r="B35" s="297" t="s">
        <v>97</v>
      </c>
      <c r="C35" s="298">
        <v>28</v>
      </c>
      <c r="D35" s="299">
        <v>0</v>
      </c>
      <c r="E35" s="299">
        <v>0</v>
      </c>
      <c r="F35" s="299">
        <v>0</v>
      </c>
      <c r="G35" s="299">
        <v>0</v>
      </c>
      <c r="H35" s="299">
        <v>0</v>
      </c>
      <c r="I35" s="299">
        <v>0</v>
      </c>
      <c r="J35" s="299">
        <v>0</v>
      </c>
      <c r="K35" s="299">
        <v>0</v>
      </c>
      <c r="L35" s="299">
        <v>0</v>
      </c>
      <c r="M35" s="299">
        <v>0</v>
      </c>
      <c r="N35" s="299">
        <v>0</v>
      </c>
      <c r="O35" s="299">
        <v>0</v>
      </c>
      <c r="P35" s="299">
        <v>0</v>
      </c>
      <c r="Q35" s="299">
        <v>0</v>
      </c>
      <c r="R35" s="299">
        <v>0</v>
      </c>
      <c r="S35" s="300">
        <f t="shared" si="0"/>
        <v>0</v>
      </c>
    </row>
    <row r="36" spans="1:19" s="383" customFormat="1" ht="14.25" customHeight="1">
      <c r="A36" s="296" t="s">
        <v>98</v>
      </c>
      <c r="B36" s="297" t="s">
        <v>99</v>
      </c>
      <c r="C36" s="298">
        <v>29</v>
      </c>
      <c r="D36" s="299">
        <v>0</v>
      </c>
      <c r="E36" s="299">
        <v>0</v>
      </c>
      <c r="F36" s="299">
        <v>0</v>
      </c>
      <c r="G36" s="299">
        <v>0</v>
      </c>
      <c r="H36" s="299">
        <v>0</v>
      </c>
      <c r="I36" s="299">
        <v>0</v>
      </c>
      <c r="J36" s="299">
        <v>0</v>
      </c>
      <c r="K36" s="299">
        <v>0</v>
      </c>
      <c r="L36" s="299">
        <v>0</v>
      </c>
      <c r="M36" s="299">
        <v>0</v>
      </c>
      <c r="N36" s="299">
        <v>0</v>
      </c>
      <c r="O36" s="299">
        <v>0</v>
      </c>
      <c r="P36" s="299">
        <v>0</v>
      </c>
      <c r="Q36" s="299">
        <v>0</v>
      </c>
      <c r="R36" s="299">
        <v>0</v>
      </c>
      <c r="S36" s="300">
        <f t="shared" si="0"/>
        <v>0</v>
      </c>
    </row>
    <row r="37" spans="1:19" s="383" customFormat="1" ht="14.25" customHeight="1" thickBot="1">
      <c r="A37" s="301" t="s">
        <v>100</v>
      </c>
      <c r="B37" s="302" t="s">
        <v>101</v>
      </c>
      <c r="C37" s="303">
        <v>30</v>
      </c>
      <c r="D37" s="304">
        <v>0</v>
      </c>
      <c r="E37" s="304">
        <v>0</v>
      </c>
      <c r="F37" s="304">
        <v>0</v>
      </c>
      <c r="G37" s="304">
        <v>0</v>
      </c>
      <c r="H37" s="304">
        <v>0</v>
      </c>
      <c r="I37" s="304">
        <v>0</v>
      </c>
      <c r="J37" s="304">
        <v>0</v>
      </c>
      <c r="K37" s="304">
        <v>0</v>
      </c>
      <c r="L37" s="304">
        <v>0</v>
      </c>
      <c r="M37" s="304">
        <v>0</v>
      </c>
      <c r="N37" s="304">
        <v>0</v>
      </c>
      <c r="O37" s="304">
        <v>0</v>
      </c>
      <c r="P37" s="304">
        <v>0</v>
      </c>
      <c r="Q37" s="304">
        <v>0</v>
      </c>
      <c r="R37" s="304">
        <v>0</v>
      </c>
      <c r="S37" s="300">
        <f t="shared" si="0"/>
        <v>0</v>
      </c>
    </row>
    <row r="38" spans="1:19" s="383" customFormat="1" ht="14.25" customHeight="1" thickBot="1">
      <c r="A38" s="305"/>
      <c r="B38" s="306" t="s">
        <v>102</v>
      </c>
      <c r="C38" s="307">
        <v>31</v>
      </c>
      <c r="D38" s="308">
        <f aca="true" t="shared" si="1" ref="D38:S38">SUM(D8:D37)</f>
        <v>82814.73</v>
      </c>
      <c r="E38" s="308">
        <f t="shared" si="1"/>
        <v>662103.9199999999</v>
      </c>
      <c r="F38" s="308">
        <f t="shared" si="1"/>
        <v>9173.839999999998</v>
      </c>
      <c r="G38" s="308">
        <f t="shared" si="1"/>
        <v>112587.67999999998</v>
      </c>
      <c r="H38" s="308">
        <f t="shared" si="1"/>
        <v>95587.12</v>
      </c>
      <c r="I38" s="308">
        <f t="shared" si="1"/>
        <v>61489.579999999994</v>
      </c>
      <c r="J38" s="308">
        <f t="shared" si="1"/>
        <v>13221.93</v>
      </c>
      <c r="K38" s="308">
        <f t="shared" si="1"/>
        <v>144061.12000000002</v>
      </c>
      <c r="L38" s="308">
        <f t="shared" si="1"/>
        <v>252535.93000000002</v>
      </c>
      <c r="M38" s="308">
        <f t="shared" si="1"/>
        <v>13345.830000000002</v>
      </c>
      <c r="N38" s="308">
        <f t="shared" si="1"/>
        <v>125246.52</v>
      </c>
      <c r="O38" s="308">
        <f t="shared" si="1"/>
        <v>96924.37999999999</v>
      </c>
      <c r="P38" s="308">
        <f t="shared" si="1"/>
        <v>6236.28</v>
      </c>
      <c r="Q38" s="308">
        <f t="shared" si="1"/>
        <v>5241.3</v>
      </c>
      <c r="R38" s="308">
        <f t="shared" si="1"/>
        <v>14896.78</v>
      </c>
      <c r="S38" s="309">
        <f t="shared" si="1"/>
        <v>1695466.94</v>
      </c>
    </row>
    <row r="39" spans="1:19" s="383" customFormat="1" ht="14.25" customHeight="1">
      <c r="A39" s="291" t="s">
        <v>103</v>
      </c>
      <c r="B39" s="292" t="s">
        <v>104</v>
      </c>
      <c r="C39" s="293">
        <v>32</v>
      </c>
      <c r="D39" s="294">
        <v>323.97</v>
      </c>
      <c r="E39" s="294">
        <v>0</v>
      </c>
      <c r="F39" s="294">
        <v>0</v>
      </c>
      <c r="G39" s="294">
        <v>18.09</v>
      </c>
      <c r="H39" s="294">
        <v>0</v>
      </c>
      <c r="I39" s="294">
        <v>0</v>
      </c>
      <c r="J39" s="294">
        <v>0</v>
      </c>
      <c r="K39" s="294">
        <v>0</v>
      </c>
      <c r="L39" s="294">
        <v>0</v>
      </c>
      <c r="M39" s="294">
        <v>0</v>
      </c>
      <c r="N39" s="294">
        <v>0</v>
      </c>
      <c r="O39" s="294">
        <v>0</v>
      </c>
      <c r="P39" s="294">
        <v>0</v>
      </c>
      <c r="Q39" s="294">
        <v>0</v>
      </c>
      <c r="R39" s="294">
        <v>0</v>
      </c>
      <c r="S39" s="300">
        <f aca="true" t="shared" si="2" ref="S39:S64">SUM(D39:R39)</f>
        <v>342.06</v>
      </c>
    </row>
    <row r="40" spans="1:19" s="383" customFormat="1" ht="14.25" customHeight="1">
      <c r="A40" s="296" t="s">
        <v>105</v>
      </c>
      <c r="B40" s="297" t="s">
        <v>106</v>
      </c>
      <c r="C40" s="298">
        <v>33</v>
      </c>
      <c r="D40" s="299">
        <v>2620.27</v>
      </c>
      <c r="E40" s="299">
        <v>2824.17</v>
      </c>
      <c r="F40" s="299">
        <v>1242</v>
      </c>
      <c r="G40" s="299">
        <v>1298.33</v>
      </c>
      <c r="H40" s="299">
        <v>2919.67</v>
      </c>
      <c r="I40" s="299">
        <v>0</v>
      </c>
      <c r="J40" s="299">
        <v>382.18</v>
      </c>
      <c r="K40" s="299">
        <v>2504.12</v>
      </c>
      <c r="L40" s="299">
        <v>1815.64</v>
      </c>
      <c r="M40" s="299">
        <v>0</v>
      </c>
      <c r="N40" s="299">
        <v>20737.17</v>
      </c>
      <c r="O40" s="299">
        <v>0</v>
      </c>
      <c r="P40" s="299">
        <v>957.06</v>
      </c>
      <c r="Q40" s="299">
        <v>2523.87</v>
      </c>
      <c r="R40" s="299">
        <v>1086.49</v>
      </c>
      <c r="S40" s="300">
        <f t="shared" si="2"/>
        <v>40910.97</v>
      </c>
    </row>
    <row r="41" spans="1:19" s="383" customFormat="1" ht="14.25" customHeight="1">
      <c r="A41" s="296" t="s">
        <v>107</v>
      </c>
      <c r="B41" s="297" t="s">
        <v>108</v>
      </c>
      <c r="C41" s="298">
        <v>34</v>
      </c>
      <c r="D41" s="299">
        <v>0</v>
      </c>
      <c r="E41" s="299">
        <v>0</v>
      </c>
      <c r="F41" s="299">
        <v>0</v>
      </c>
      <c r="G41" s="299">
        <v>0</v>
      </c>
      <c r="H41" s="299">
        <v>77.49</v>
      </c>
      <c r="I41" s="299">
        <v>0</v>
      </c>
      <c r="J41" s="299">
        <v>0</v>
      </c>
      <c r="K41" s="299">
        <v>0</v>
      </c>
      <c r="L41" s="299">
        <v>0</v>
      </c>
      <c r="M41" s="299">
        <v>0</v>
      </c>
      <c r="N41" s="299">
        <v>0</v>
      </c>
      <c r="O41" s="299">
        <v>0</v>
      </c>
      <c r="P41" s="299">
        <v>0</v>
      </c>
      <c r="Q41" s="299">
        <v>0</v>
      </c>
      <c r="R41" s="299">
        <v>0</v>
      </c>
      <c r="S41" s="300">
        <f t="shared" si="2"/>
        <v>77.49</v>
      </c>
    </row>
    <row r="42" spans="1:19" s="383" customFormat="1" ht="14.25" customHeight="1">
      <c r="A42" s="296" t="s">
        <v>109</v>
      </c>
      <c r="B42" s="297" t="s">
        <v>110</v>
      </c>
      <c r="C42" s="298">
        <v>35</v>
      </c>
      <c r="D42" s="299">
        <v>0</v>
      </c>
      <c r="E42" s="299">
        <v>0</v>
      </c>
      <c r="F42" s="299">
        <v>0</v>
      </c>
      <c r="G42" s="299">
        <v>0</v>
      </c>
      <c r="H42" s="299">
        <v>0</v>
      </c>
      <c r="I42" s="299">
        <v>0</v>
      </c>
      <c r="J42" s="299">
        <v>0</v>
      </c>
      <c r="K42" s="299">
        <v>0</v>
      </c>
      <c r="L42" s="299">
        <v>0</v>
      </c>
      <c r="M42" s="299">
        <v>0</v>
      </c>
      <c r="N42" s="299">
        <v>0</v>
      </c>
      <c r="O42" s="299">
        <v>0</v>
      </c>
      <c r="P42" s="299">
        <v>0</v>
      </c>
      <c r="Q42" s="299">
        <v>0</v>
      </c>
      <c r="R42" s="299">
        <v>0</v>
      </c>
      <c r="S42" s="300">
        <f t="shared" si="2"/>
        <v>0</v>
      </c>
    </row>
    <row r="43" spans="1:19" s="383" customFormat="1" ht="14.25" customHeight="1">
      <c r="A43" s="296" t="s">
        <v>111</v>
      </c>
      <c r="B43" s="297" t="s">
        <v>112</v>
      </c>
      <c r="C43" s="298">
        <v>36</v>
      </c>
      <c r="D43" s="299">
        <v>0</v>
      </c>
      <c r="E43" s="299">
        <v>0</v>
      </c>
      <c r="F43" s="299">
        <v>0</v>
      </c>
      <c r="G43" s="299">
        <v>0</v>
      </c>
      <c r="H43" s="299">
        <v>0</v>
      </c>
      <c r="I43" s="299">
        <v>0</v>
      </c>
      <c r="J43" s="299">
        <v>0</v>
      </c>
      <c r="K43" s="299">
        <v>0</v>
      </c>
      <c r="L43" s="299">
        <v>0</v>
      </c>
      <c r="M43" s="299">
        <v>0</v>
      </c>
      <c r="N43" s="299">
        <v>0</v>
      </c>
      <c r="O43" s="299">
        <v>0</v>
      </c>
      <c r="P43" s="299">
        <v>0</v>
      </c>
      <c r="Q43" s="299">
        <v>0</v>
      </c>
      <c r="R43" s="299">
        <v>0</v>
      </c>
      <c r="S43" s="300">
        <f t="shared" si="2"/>
        <v>0</v>
      </c>
    </row>
    <row r="44" spans="1:19" s="383" customFormat="1" ht="14.25" customHeight="1">
      <c r="A44" s="296" t="s">
        <v>113</v>
      </c>
      <c r="B44" s="297" t="s">
        <v>114</v>
      </c>
      <c r="C44" s="298">
        <v>37</v>
      </c>
      <c r="D44" s="299">
        <v>0</v>
      </c>
      <c r="E44" s="299">
        <v>0</v>
      </c>
      <c r="F44" s="299">
        <v>0</v>
      </c>
      <c r="G44" s="299">
        <v>12.66</v>
      </c>
      <c r="H44" s="299">
        <v>0</v>
      </c>
      <c r="I44" s="299">
        <v>0</v>
      </c>
      <c r="J44" s="299">
        <v>0</v>
      </c>
      <c r="K44" s="299">
        <v>0</v>
      </c>
      <c r="L44" s="299">
        <v>0</v>
      </c>
      <c r="M44" s="299">
        <v>0</v>
      </c>
      <c r="N44" s="299">
        <v>0</v>
      </c>
      <c r="O44" s="299">
        <v>0</v>
      </c>
      <c r="P44" s="299">
        <v>0</v>
      </c>
      <c r="Q44" s="299">
        <v>0</v>
      </c>
      <c r="R44" s="299">
        <v>0</v>
      </c>
      <c r="S44" s="300">
        <f t="shared" si="2"/>
        <v>12.66</v>
      </c>
    </row>
    <row r="45" spans="1:19" s="383" customFormat="1" ht="14.25" customHeight="1">
      <c r="A45" s="296" t="s">
        <v>115</v>
      </c>
      <c r="B45" s="297" t="s">
        <v>116</v>
      </c>
      <c r="C45" s="298">
        <v>38</v>
      </c>
      <c r="D45" s="299">
        <v>0</v>
      </c>
      <c r="E45" s="299">
        <v>0</v>
      </c>
      <c r="F45" s="299">
        <v>0</v>
      </c>
      <c r="G45" s="299">
        <v>0</v>
      </c>
      <c r="H45" s="299">
        <v>0</v>
      </c>
      <c r="I45" s="299">
        <v>0</v>
      </c>
      <c r="J45" s="299">
        <v>0</v>
      </c>
      <c r="K45" s="299">
        <v>0</v>
      </c>
      <c r="L45" s="299">
        <v>0</v>
      </c>
      <c r="M45" s="299">
        <v>0</v>
      </c>
      <c r="N45" s="299">
        <v>0</v>
      </c>
      <c r="O45" s="299">
        <v>0</v>
      </c>
      <c r="P45" s="299">
        <v>0</v>
      </c>
      <c r="Q45" s="299">
        <v>0</v>
      </c>
      <c r="R45" s="299">
        <v>0</v>
      </c>
      <c r="S45" s="300">
        <f t="shared" si="2"/>
        <v>0</v>
      </c>
    </row>
    <row r="46" spans="1:19" s="383" customFormat="1" ht="14.25" customHeight="1">
      <c r="A46" s="296" t="s">
        <v>117</v>
      </c>
      <c r="B46" s="297" t="s">
        <v>118</v>
      </c>
      <c r="C46" s="298">
        <v>39</v>
      </c>
      <c r="D46" s="299">
        <v>0</v>
      </c>
      <c r="E46" s="299">
        <v>0</v>
      </c>
      <c r="F46" s="299">
        <v>0</v>
      </c>
      <c r="G46" s="299">
        <v>0</v>
      </c>
      <c r="H46" s="299">
        <v>0</v>
      </c>
      <c r="I46" s="299">
        <v>0</v>
      </c>
      <c r="J46" s="299">
        <v>0</v>
      </c>
      <c r="K46" s="299">
        <v>0</v>
      </c>
      <c r="L46" s="299">
        <v>0</v>
      </c>
      <c r="M46" s="299">
        <v>0</v>
      </c>
      <c r="N46" s="299">
        <v>0</v>
      </c>
      <c r="O46" s="299">
        <v>0</v>
      </c>
      <c r="P46" s="299">
        <v>0</v>
      </c>
      <c r="Q46" s="299">
        <v>0</v>
      </c>
      <c r="R46" s="299">
        <v>0</v>
      </c>
      <c r="S46" s="300">
        <f t="shared" si="2"/>
        <v>0</v>
      </c>
    </row>
    <row r="47" spans="1:19" s="383" customFormat="1" ht="14.25" customHeight="1">
      <c r="A47" s="296" t="s">
        <v>119</v>
      </c>
      <c r="B47" s="297" t="s">
        <v>120</v>
      </c>
      <c r="C47" s="298">
        <v>40</v>
      </c>
      <c r="D47" s="299">
        <v>0</v>
      </c>
      <c r="E47" s="299">
        <v>0</v>
      </c>
      <c r="F47" s="299">
        <v>0</v>
      </c>
      <c r="G47" s="299">
        <v>0</v>
      </c>
      <c r="H47" s="299">
        <v>0</v>
      </c>
      <c r="I47" s="299">
        <v>0</v>
      </c>
      <c r="J47" s="299">
        <v>0</v>
      </c>
      <c r="K47" s="299">
        <v>0</v>
      </c>
      <c r="L47" s="299">
        <v>0</v>
      </c>
      <c r="M47" s="299">
        <v>0</v>
      </c>
      <c r="N47" s="299">
        <v>0</v>
      </c>
      <c r="O47" s="299">
        <v>0</v>
      </c>
      <c r="P47" s="299">
        <v>0</v>
      </c>
      <c r="Q47" s="299">
        <v>0</v>
      </c>
      <c r="R47" s="299">
        <v>0</v>
      </c>
      <c r="S47" s="300">
        <f t="shared" si="2"/>
        <v>0</v>
      </c>
    </row>
    <row r="48" spans="1:19" s="383" customFormat="1" ht="14.25" customHeight="1">
      <c r="A48" s="296" t="s">
        <v>121</v>
      </c>
      <c r="B48" s="297" t="s">
        <v>122</v>
      </c>
      <c r="C48" s="298">
        <v>41</v>
      </c>
      <c r="D48" s="299">
        <v>0</v>
      </c>
      <c r="E48" s="299">
        <v>0</v>
      </c>
      <c r="F48" s="299">
        <v>0</v>
      </c>
      <c r="G48" s="299">
        <v>0</v>
      </c>
      <c r="H48" s="299">
        <v>0</v>
      </c>
      <c r="I48" s="299">
        <v>0</v>
      </c>
      <c r="J48" s="299">
        <v>0</v>
      </c>
      <c r="K48" s="299">
        <v>0</v>
      </c>
      <c r="L48" s="299">
        <v>0</v>
      </c>
      <c r="M48" s="299">
        <v>0</v>
      </c>
      <c r="N48" s="299">
        <v>0</v>
      </c>
      <c r="O48" s="299">
        <v>0</v>
      </c>
      <c r="P48" s="299">
        <v>0</v>
      </c>
      <c r="Q48" s="299">
        <v>0</v>
      </c>
      <c r="R48" s="299">
        <v>0</v>
      </c>
      <c r="S48" s="300">
        <f t="shared" si="2"/>
        <v>0</v>
      </c>
    </row>
    <row r="49" spans="1:19" s="383" customFormat="1" ht="14.25" customHeight="1">
      <c r="A49" s="296" t="s">
        <v>123</v>
      </c>
      <c r="B49" s="297" t="s">
        <v>124</v>
      </c>
      <c r="C49" s="298">
        <v>42</v>
      </c>
      <c r="D49" s="299">
        <v>0</v>
      </c>
      <c r="E49" s="299">
        <v>0</v>
      </c>
      <c r="F49" s="299">
        <v>0</v>
      </c>
      <c r="G49" s="299">
        <v>0</v>
      </c>
      <c r="H49" s="299">
        <v>0</v>
      </c>
      <c r="I49" s="299">
        <v>0</v>
      </c>
      <c r="J49" s="299">
        <v>0</v>
      </c>
      <c r="K49" s="299">
        <v>0</v>
      </c>
      <c r="L49" s="299">
        <v>0</v>
      </c>
      <c r="M49" s="299">
        <v>0</v>
      </c>
      <c r="N49" s="299">
        <v>0</v>
      </c>
      <c r="O49" s="299">
        <v>0</v>
      </c>
      <c r="P49" s="299">
        <v>0</v>
      </c>
      <c r="Q49" s="299">
        <v>0</v>
      </c>
      <c r="R49" s="299">
        <v>0</v>
      </c>
      <c r="S49" s="300">
        <f t="shared" si="2"/>
        <v>0</v>
      </c>
    </row>
    <row r="50" spans="1:19" s="383" customFormat="1" ht="14.25" customHeight="1">
      <c r="A50" s="296" t="s">
        <v>125</v>
      </c>
      <c r="B50" s="297" t="s">
        <v>75</v>
      </c>
      <c r="C50" s="298">
        <v>43</v>
      </c>
      <c r="D50" s="299">
        <v>0</v>
      </c>
      <c r="E50" s="299">
        <v>0</v>
      </c>
      <c r="F50" s="299">
        <v>0</v>
      </c>
      <c r="G50" s="299">
        <v>0</v>
      </c>
      <c r="H50" s="299">
        <v>0</v>
      </c>
      <c r="I50" s="299">
        <v>0</v>
      </c>
      <c r="J50" s="299">
        <v>0</v>
      </c>
      <c r="K50" s="299">
        <v>0</v>
      </c>
      <c r="L50" s="299">
        <v>1.44</v>
      </c>
      <c r="M50" s="299">
        <v>0</v>
      </c>
      <c r="N50" s="299">
        <v>0</v>
      </c>
      <c r="O50" s="299">
        <v>0</v>
      </c>
      <c r="P50" s="299">
        <v>0</v>
      </c>
      <c r="Q50" s="299">
        <v>0</v>
      </c>
      <c r="R50" s="299">
        <v>0</v>
      </c>
      <c r="S50" s="300">
        <f t="shared" si="2"/>
        <v>1.44</v>
      </c>
    </row>
    <row r="51" spans="1:19" s="383" customFormat="1" ht="14.25" customHeight="1">
      <c r="A51" s="296" t="s">
        <v>126</v>
      </c>
      <c r="B51" s="297" t="s">
        <v>77</v>
      </c>
      <c r="C51" s="298">
        <v>44</v>
      </c>
      <c r="D51" s="299">
        <v>0</v>
      </c>
      <c r="E51" s="299">
        <v>0</v>
      </c>
      <c r="F51" s="299">
        <v>0</v>
      </c>
      <c r="G51" s="299">
        <v>0</v>
      </c>
      <c r="H51" s="299">
        <v>0</v>
      </c>
      <c r="I51" s="299">
        <v>0</v>
      </c>
      <c r="J51" s="299">
        <v>0</v>
      </c>
      <c r="K51" s="299">
        <v>0</v>
      </c>
      <c r="L51" s="299">
        <v>0</v>
      </c>
      <c r="M51" s="299">
        <v>0</v>
      </c>
      <c r="N51" s="299">
        <v>0</v>
      </c>
      <c r="O51" s="299">
        <v>0</v>
      </c>
      <c r="P51" s="299">
        <v>0</v>
      </c>
      <c r="Q51" s="299">
        <v>0</v>
      </c>
      <c r="R51" s="299">
        <v>0</v>
      </c>
      <c r="S51" s="300">
        <f t="shared" si="2"/>
        <v>0</v>
      </c>
    </row>
    <row r="52" spans="1:19" s="383" customFormat="1" ht="14.25" customHeight="1">
      <c r="A52" s="296" t="s">
        <v>127</v>
      </c>
      <c r="B52" s="297" t="s">
        <v>128</v>
      </c>
      <c r="C52" s="298">
        <v>45</v>
      </c>
      <c r="D52" s="299">
        <v>0</v>
      </c>
      <c r="E52" s="299">
        <v>0</v>
      </c>
      <c r="F52" s="299">
        <v>0</v>
      </c>
      <c r="G52" s="299">
        <v>0</v>
      </c>
      <c r="H52" s="299">
        <v>0</v>
      </c>
      <c r="I52" s="299">
        <v>0</v>
      </c>
      <c r="J52" s="299">
        <v>0</v>
      </c>
      <c r="K52" s="299">
        <v>0</v>
      </c>
      <c r="L52" s="299">
        <v>4.48</v>
      </c>
      <c r="M52" s="299">
        <v>0</v>
      </c>
      <c r="N52" s="299">
        <v>0</v>
      </c>
      <c r="O52" s="299">
        <v>0</v>
      </c>
      <c r="P52" s="299">
        <v>0</v>
      </c>
      <c r="Q52" s="299">
        <v>0</v>
      </c>
      <c r="R52" s="299">
        <v>0</v>
      </c>
      <c r="S52" s="300">
        <f t="shared" si="2"/>
        <v>4.48</v>
      </c>
    </row>
    <row r="53" spans="1:19" s="383" customFormat="1" ht="14.25" customHeight="1">
      <c r="A53" s="296" t="s">
        <v>129</v>
      </c>
      <c r="B53" s="297" t="s">
        <v>81</v>
      </c>
      <c r="C53" s="298">
        <v>46</v>
      </c>
      <c r="D53" s="299">
        <v>15.77</v>
      </c>
      <c r="E53" s="299">
        <v>137.29</v>
      </c>
      <c r="F53" s="299">
        <v>3.07</v>
      </c>
      <c r="G53" s="299">
        <v>220.64</v>
      </c>
      <c r="H53" s="299">
        <v>190.31</v>
      </c>
      <c r="I53" s="299">
        <v>32.31</v>
      </c>
      <c r="J53" s="299">
        <v>10.95</v>
      </c>
      <c r="K53" s="299">
        <v>486.31</v>
      </c>
      <c r="L53" s="299">
        <v>278.59</v>
      </c>
      <c r="M53" s="299">
        <v>1.13</v>
      </c>
      <c r="N53" s="299">
        <v>41.32</v>
      </c>
      <c r="O53" s="299">
        <v>90.43</v>
      </c>
      <c r="P53" s="299">
        <v>0.76</v>
      </c>
      <c r="Q53" s="299">
        <v>5.13</v>
      </c>
      <c r="R53" s="299">
        <v>1.71</v>
      </c>
      <c r="S53" s="300">
        <f t="shared" si="2"/>
        <v>1515.72</v>
      </c>
    </row>
    <row r="54" spans="1:19" s="383" customFormat="1" ht="14.25" customHeight="1">
      <c r="A54" s="296" t="s">
        <v>130</v>
      </c>
      <c r="B54" s="297" t="s">
        <v>131</v>
      </c>
      <c r="C54" s="298">
        <v>47</v>
      </c>
      <c r="D54" s="299">
        <v>0</v>
      </c>
      <c r="E54" s="299">
        <v>1477.03</v>
      </c>
      <c r="F54" s="299">
        <v>0</v>
      </c>
      <c r="G54" s="299">
        <v>17.02</v>
      </c>
      <c r="H54" s="299">
        <v>47</v>
      </c>
      <c r="I54" s="299">
        <v>1.01</v>
      </c>
      <c r="J54" s="299">
        <v>0</v>
      </c>
      <c r="K54" s="299">
        <v>81.01</v>
      </c>
      <c r="L54" s="299">
        <v>261.21</v>
      </c>
      <c r="M54" s="299">
        <v>790.15</v>
      </c>
      <c r="N54" s="299">
        <v>0.01</v>
      </c>
      <c r="O54" s="299">
        <v>0</v>
      </c>
      <c r="P54" s="299">
        <v>0.07</v>
      </c>
      <c r="Q54" s="299">
        <v>0</v>
      </c>
      <c r="R54" s="299">
        <v>52.06</v>
      </c>
      <c r="S54" s="300">
        <f t="shared" si="2"/>
        <v>2726.57</v>
      </c>
    </row>
    <row r="55" spans="1:19" s="383" customFormat="1" ht="14.25" customHeight="1">
      <c r="A55" s="296">
        <v>648</v>
      </c>
      <c r="B55" s="297" t="s">
        <v>132</v>
      </c>
      <c r="C55" s="298">
        <v>48</v>
      </c>
      <c r="D55" s="299">
        <v>-45594.32</v>
      </c>
      <c r="E55" s="299">
        <v>11343.07</v>
      </c>
      <c r="F55" s="299">
        <v>620</v>
      </c>
      <c r="G55" s="299">
        <v>809.11</v>
      </c>
      <c r="H55" s="299">
        <v>-97424.71</v>
      </c>
      <c r="I55" s="299">
        <v>1259.48</v>
      </c>
      <c r="J55" s="299">
        <v>0</v>
      </c>
      <c r="K55" s="299">
        <v>68164.46</v>
      </c>
      <c r="L55" s="299">
        <v>184.12</v>
      </c>
      <c r="M55" s="299">
        <v>25.82</v>
      </c>
      <c r="N55" s="299">
        <v>21050.84</v>
      </c>
      <c r="O55" s="299">
        <v>0</v>
      </c>
      <c r="P55" s="299">
        <v>461.38</v>
      </c>
      <c r="Q55" s="299">
        <v>334.41</v>
      </c>
      <c r="R55" s="299">
        <v>0</v>
      </c>
      <c r="S55" s="300">
        <f t="shared" si="2"/>
        <v>-38766.340000000004</v>
      </c>
    </row>
    <row r="56" spans="1:19" s="383" customFormat="1" ht="14.25" customHeight="1">
      <c r="A56" s="296" t="s">
        <v>133</v>
      </c>
      <c r="B56" s="297" t="s">
        <v>134</v>
      </c>
      <c r="C56" s="298">
        <v>49</v>
      </c>
      <c r="D56" s="299">
        <v>1331.93</v>
      </c>
      <c r="E56" s="299">
        <v>1152.29</v>
      </c>
      <c r="F56" s="299">
        <v>22.7</v>
      </c>
      <c r="G56" s="299">
        <v>13741.73</v>
      </c>
      <c r="H56" s="299">
        <v>2947.91</v>
      </c>
      <c r="I56" s="299">
        <v>12.04</v>
      </c>
      <c r="J56" s="299">
        <v>1.67</v>
      </c>
      <c r="K56" s="299">
        <v>1977.15</v>
      </c>
      <c r="L56" s="299">
        <v>4292.93</v>
      </c>
      <c r="M56" s="299">
        <v>0</v>
      </c>
      <c r="N56" s="299">
        <v>1647.97</v>
      </c>
      <c r="O56" s="299">
        <v>65.01</v>
      </c>
      <c r="P56" s="299">
        <v>0.58</v>
      </c>
      <c r="Q56" s="299">
        <v>417.6</v>
      </c>
      <c r="R56" s="299">
        <v>1019.52</v>
      </c>
      <c r="S56" s="300">
        <f t="shared" si="2"/>
        <v>28631.03</v>
      </c>
    </row>
    <row r="57" spans="1:19" s="383" customFormat="1" ht="14.25" customHeight="1">
      <c r="A57" s="296" t="s">
        <v>135</v>
      </c>
      <c r="B57" s="297" t="s">
        <v>136</v>
      </c>
      <c r="C57" s="298">
        <v>50</v>
      </c>
      <c r="D57" s="299">
        <v>0</v>
      </c>
      <c r="E57" s="299">
        <v>0</v>
      </c>
      <c r="F57" s="299">
        <v>17.48</v>
      </c>
      <c r="G57" s="299">
        <v>0</v>
      </c>
      <c r="H57" s="299">
        <v>0</v>
      </c>
      <c r="I57" s="299">
        <v>55</v>
      </c>
      <c r="J57" s="299">
        <v>9</v>
      </c>
      <c r="K57" s="299">
        <v>0</v>
      </c>
      <c r="L57" s="299">
        <v>41.73</v>
      </c>
      <c r="M57" s="299">
        <v>0</v>
      </c>
      <c r="N57" s="299">
        <v>0</v>
      </c>
      <c r="O57" s="299">
        <v>0</v>
      </c>
      <c r="P57" s="299">
        <v>0</v>
      </c>
      <c r="Q57" s="299">
        <v>0</v>
      </c>
      <c r="R57" s="299">
        <v>0</v>
      </c>
      <c r="S57" s="300">
        <f t="shared" si="2"/>
        <v>123.21000000000001</v>
      </c>
    </row>
    <row r="58" spans="1:19" s="383" customFormat="1" ht="14.25" customHeight="1">
      <c r="A58" s="296" t="s">
        <v>137</v>
      </c>
      <c r="B58" s="297" t="s">
        <v>138</v>
      </c>
      <c r="C58" s="298">
        <v>51</v>
      </c>
      <c r="D58" s="299">
        <v>0</v>
      </c>
      <c r="E58" s="299">
        <v>0</v>
      </c>
      <c r="F58" s="299">
        <v>0</v>
      </c>
      <c r="G58" s="299">
        <v>0</v>
      </c>
      <c r="H58" s="299">
        <v>0</v>
      </c>
      <c r="I58" s="299">
        <v>0</v>
      </c>
      <c r="J58" s="299">
        <v>0</v>
      </c>
      <c r="K58" s="299">
        <v>0</v>
      </c>
      <c r="L58" s="299">
        <v>0</v>
      </c>
      <c r="M58" s="299">
        <v>0</v>
      </c>
      <c r="N58" s="299">
        <v>0</v>
      </c>
      <c r="O58" s="299">
        <v>0</v>
      </c>
      <c r="P58" s="299">
        <v>0</v>
      </c>
      <c r="Q58" s="299">
        <v>0</v>
      </c>
      <c r="R58" s="299">
        <v>0</v>
      </c>
      <c r="S58" s="300">
        <f t="shared" si="2"/>
        <v>0</v>
      </c>
    </row>
    <row r="59" spans="1:19" s="383" customFormat="1" ht="14.25" customHeight="1">
      <c r="A59" s="296" t="s">
        <v>139</v>
      </c>
      <c r="B59" s="297" t="s">
        <v>140</v>
      </c>
      <c r="C59" s="298">
        <v>52</v>
      </c>
      <c r="D59" s="299">
        <v>0</v>
      </c>
      <c r="E59" s="299">
        <v>0</v>
      </c>
      <c r="F59" s="299">
        <v>0</v>
      </c>
      <c r="G59" s="299">
        <v>0</v>
      </c>
      <c r="H59" s="299">
        <v>0</v>
      </c>
      <c r="I59" s="299">
        <v>0</v>
      </c>
      <c r="J59" s="299">
        <v>0</v>
      </c>
      <c r="K59" s="299">
        <v>0</v>
      </c>
      <c r="L59" s="299">
        <v>0</v>
      </c>
      <c r="M59" s="299">
        <v>0</v>
      </c>
      <c r="N59" s="299">
        <v>0</v>
      </c>
      <c r="O59" s="299">
        <v>0</v>
      </c>
      <c r="P59" s="299">
        <v>0</v>
      </c>
      <c r="Q59" s="299">
        <v>0</v>
      </c>
      <c r="R59" s="299">
        <v>0</v>
      </c>
      <c r="S59" s="300">
        <f t="shared" si="2"/>
        <v>0</v>
      </c>
    </row>
    <row r="60" spans="1:19" s="383" customFormat="1" ht="14.25" customHeight="1">
      <c r="A60" s="296" t="s">
        <v>141</v>
      </c>
      <c r="B60" s="297" t="s">
        <v>142</v>
      </c>
      <c r="C60" s="298">
        <v>53</v>
      </c>
      <c r="D60" s="299">
        <v>0</v>
      </c>
      <c r="E60" s="299">
        <v>0</v>
      </c>
      <c r="F60" s="299">
        <v>0</v>
      </c>
      <c r="G60" s="299">
        <v>0</v>
      </c>
      <c r="H60" s="299">
        <v>0</v>
      </c>
      <c r="I60" s="299">
        <v>0</v>
      </c>
      <c r="J60" s="299">
        <v>0</v>
      </c>
      <c r="K60" s="299">
        <v>0</v>
      </c>
      <c r="L60" s="299">
        <v>0</v>
      </c>
      <c r="M60" s="299">
        <v>0</v>
      </c>
      <c r="N60" s="299">
        <v>0</v>
      </c>
      <c r="O60" s="299">
        <v>0</v>
      </c>
      <c r="P60" s="299">
        <v>0</v>
      </c>
      <c r="Q60" s="299">
        <v>0</v>
      </c>
      <c r="R60" s="299">
        <v>0</v>
      </c>
      <c r="S60" s="300">
        <f t="shared" si="2"/>
        <v>0</v>
      </c>
    </row>
    <row r="61" spans="1:19" s="383" customFormat="1" ht="14.25" customHeight="1">
      <c r="A61" s="296" t="s">
        <v>143</v>
      </c>
      <c r="B61" s="297" t="s">
        <v>144</v>
      </c>
      <c r="C61" s="298">
        <v>54</v>
      </c>
      <c r="D61" s="299">
        <v>0</v>
      </c>
      <c r="E61" s="299">
        <v>0</v>
      </c>
      <c r="F61" s="299">
        <v>0</v>
      </c>
      <c r="G61" s="299">
        <v>0</v>
      </c>
      <c r="H61" s="299">
        <v>0</v>
      </c>
      <c r="I61" s="299">
        <v>0</v>
      </c>
      <c r="J61" s="299">
        <v>0</v>
      </c>
      <c r="K61" s="299">
        <v>0</v>
      </c>
      <c r="L61" s="299">
        <v>0</v>
      </c>
      <c r="M61" s="299">
        <v>0</v>
      </c>
      <c r="N61" s="299">
        <v>0</v>
      </c>
      <c r="O61" s="299">
        <v>0</v>
      </c>
      <c r="P61" s="299">
        <v>0</v>
      </c>
      <c r="Q61" s="299">
        <v>0</v>
      </c>
      <c r="R61" s="299">
        <v>0</v>
      </c>
      <c r="S61" s="300">
        <f t="shared" si="2"/>
        <v>0</v>
      </c>
    </row>
    <row r="62" spans="1:19" s="383" customFormat="1" ht="14.25" customHeight="1">
      <c r="A62" s="296" t="s">
        <v>145</v>
      </c>
      <c r="B62" s="297" t="s">
        <v>146</v>
      </c>
      <c r="C62" s="298">
        <v>55</v>
      </c>
      <c r="D62" s="299">
        <v>0</v>
      </c>
      <c r="E62" s="299">
        <v>0</v>
      </c>
      <c r="F62" s="299">
        <v>0</v>
      </c>
      <c r="G62" s="299">
        <v>0</v>
      </c>
      <c r="H62" s="299">
        <v>0</v>
      </c>
      <c r="I62" s="299">
        <v>0</v>
      </c>
      <c r="J62" s="299">
        <v>0</v>
      </c>
      <c r="K62" s="299">
        <v>0</v>
      </c>
      <c r="L62" s="299">
        <v>0</v>
      </c>
      <c r="M62" s="299">
        <v>0</v>
      </c>
      <c r="N62" s="299">
        <v>0</v>
      </c>
      <c r="O62" s="299">
        <v>0</v>
      </c>
      <c r="P62" s="299">
        <v>0</v>
      </c>
      <c r="Q62" s="299">
        <v>0</v>
      </c>
      <c r="R62" s="299">
        <v>0</v>
      </c>
      <c r="S62" s="300">
        <f t="shared" si="2"/>
        <v>0</v>
      </c>
    </row>
    <row r="63" spans="1:19" s="383" customFormat="1" ht="14.25" customHeight="1">
      <c r="A63" s="296" t="s">
        <v>147</v>
      </c>
      <c r="B63" s="297" t="s">
        <v>148</v>
      </c>
      <c r="C63" s="298">
        <v>56</v>
      </c>
      <c r="D63" s="299">
        <v>0</v>
      </c>
      <c r="E63" s="299">
        <v>0</v>
      </c>
      <c r="F63" s="299">
        <v>0</v>
      </c>
      <c r="G63" s="299">
        <v>0</v>
      </c>
      <c r="H63" s="299">
        <v>0</v>
      </c>
      <c r="I63" s="299">
        <v>0</v>
      </c>
      <c r="J63" s="299">
        <v>0</v>
      </c>
      <c r="K63" s="299">
        <v>0</v>
      </c>
      <c r="L63" s="299">
        <v>0</v>
      </c>
      <c r="M63" s="299">
        <v>0</v>
      </c>
      <c r="N63" s="299">
        <v>0</v>
      </c>
      <c r="O63" s="299">
        <v>0</v>
      </c>
      <c r="P63" s="299">
        <v>0</v>
      </c>
      <c r="Q63" s="299">
        <v>0</v>
      </c>
      <c r="R63" s="299">
        <v>0</v>
      </c>
      <c r="S63" s="300">
        <f t="shared" si="2"/>
        <v>0</v>
      </c>
    </row>
    <row r="64" spans="1:19" s="383" customFormat="1" ht="14.25" customHeight="1" thickBot="1">
      <c r="A64" s="301" t="s">
        <v>149</v>
      </c>
      <c r="B64" s="302" t="s">
        <v>150</v>
      </c>
      <c r="C64" s="303">
        <v>57</v>
      </c>
      <c r="D64" s="304">
        <v>128324.65</v>
      </c>
      <c r="E64" s="304">
        <v>645482.26</v>
      </c>
      <c r="F64" s="304">
        <v>6804.1</v>
      </c>
      <c r="G64" s="304">
        <v>99421.82</v>
      </c>
      <c r="H64" s="304">
        <v>187734.31</v>
      </c>
      <c r="I64" s="304">
        <v>63600.81</v>
      </c>
      <c r="J64" s="304">
        <v>13242</v>
      </c>
      <c r="K64" s="304">
        <v>71459.68</v>
      </c>
      <c r="L64" s="304">
        <v>324137.34</v>
      </c>
      <c r="M64" s="304">
        <v>12546</v>
      </c>
      <c r="N64" s="304">
        <v>103744.25</v>
      </c>
      <c r="O64" s="304">
        <v>118490.82</v>
      </c>
      <c r="P64" s="304">
        <v>5359</v>
      </c>
      <c r="Q64" s="304">
        <v>2334.76</v>
      </c>
      <c r="R64" s="304">
        <v>12737</v>
      </c>
      <c r="S64" s="300">
        <f t="shared" si="2"/>
        <v>1795418.8000000003</v>
      </c>
    </row>
    <row r="65" spans="1:19" s="383" customFormat="1" ht="14.25" customHeight="1" thickBot="1">
      <c r="A65" s="305"/>
      <c r="B65" s="306" t="s">
        <v>151</v>
      </c>
      <c r="C65" s="307">
        <v>58</v>
      </c>
      <c r="D65" s="308">
        <f aca="true" t="shared" si="3" ref="D65:S65">SUM(D39:D64)</f>
        <v>87022.26999999999</v>
      </c>
      <c r="E65" s="308">
        <f t="shared" si="3"/>
        <v>662416.11</v>
      </c>
      <c r="F65" s="308">
        <f t="shared" si="3"/>
        <v>8709.35</v>
      </c>
      <c r="G65" s="308">
        <f t="shared" si="3"/>
        <v>115539.40000000001</v>
      </c>
      <c r="H65" s="308">
        <f t="shared" si="3"/>
        <v>96491.98</v>
      </c>
      <c r="I65" s="308">
        <f t="shared" si="3"/>
        <v>64960.649999999994</v>
      </c>
      <c r="J65" s="308">
        <f t="shared" si="3"/>
        <v>13645.8</v>
      </c>
      <c r="K65" s="308">
        <f t="shared" si="3"/>
        <v>144672.72999999998</v>
      </c>
      <c r="L65" s="308">
        <f t="shared" si="3"/>
        <v>331017.48000000004</v>
      </c>
      <c r="M65" s="308">
        <f t="shared" si="3"/>
        <v>13363.1</v>
      </c>
      <c r="N65" s="308">
        <f t="shared" si="3"/>
        <v>147221.56</v>
      </c>
      <c r="O65" s="308">
        <f t="shared" si="3"/>
        <v>118646.26000000001</v>
      </c>
      <c r="P65" s="308">
        <f t="shared" si="3"/>
        <v>6778.85</v>
      </c>
      <c r="Q65" s="308">
        <f t="shared" si="3"/>
        <v>5615.77</v>
      </c>
      <c r="R65" s="308">
        <f t="shared" si="3"/>
        <v>14896.779999999999</v>
      </c>
      <c r="S65" s="309">
        <f t="shared" si="3"/>
        <v>1830998.0900000003</v>
      </c>
    </row>
    <row r="66" spans="1:19" s="383" customFormat="1" ht="14.25" customHeight="1" thickBot="1">
      <c r="A66" s="310"/>
      <c r="B66" s="311" t="s">
        <v>152</v>
      </c>
      <c r="C66" s="312">
        <v>59</v>
      </c>
      <c r="D66" s="313">
        <f aca="true" t="shared" si="4" ref="D66:S66">D65-D38</f>
        <v>4207.539999999994</v>
      </c>
      <c r="E66" s="313">
        <f t="shared" si="4"/>
        <v>312.19000000006054</v>
      </c>
      <c r="F66" s="313">
        <f t="shared" si="4"/>
        <v>-464.48999999999796</v>
      </c>
      <c r="G66" s="313">
        <f t="shared" si="4"/>
        <v>2951.7200000000303</v>
      </c>
      <c r="H66" s="313">
        <f t="shared" si="4"/>
        <v>904.8600000000006</v>
      </c>
      <c r="I66" s="313">
        <f t="shared" si="4"/>
        <v>3471.0699999999997</v>
      </c>
      <c r="J66" s="313">
        <f t="shared" si="4"/>
        <v>423.869999999999</v>
      </c>
      <c r="K66" s="313">
        <f t="shared" si="4"/>
        <v>611.6099999999569</v>
      </c>
      <c r="L66" s="313">
        <f t="shared" si="4"/>
        <v>78481.55000000002</v>
      </c>
      <c r="M66" s="313">
        <f t="shared" si="4"/>
        <v>17.269999999998618</v>
      </c>
      <c r="N66" s="313">
        <f t="shared" si="4"/>
        <v>21975.039999999994</v>
      </c>
      <c r="O66" s="313">
        <f t="shared" si="4"/>
        <v>21721.88000000002</v>
      </c>
      <c r="P66" s="313">
        <f t="shared" si="4"/>
        <v>542.5700000000006</v>
      </c>
      <c r="Q66" s="313">
        <f t="shared" si="4"/>
        <v>374.47000000000025</v>
      </c>
      <c r="R66" s="313">
        <f t="shared" si="4"/>
        <v>0</v>
      </c>
      <c r="S66" s="314">
        <f t="shared" si="4"/>
        <v>135531.15000000037</v>
      </c>
    </row>
    <row r="67" spans="1:19" s="383" customFormat="1" ht="14.25" customHeight="1">
      <c r="A67" s="291" t="s">
        <v>153</v>
      </c>
      <c r="B67" s="292" t="s">
        <v>154</v>
      </c>
      <c r="C67" s="293">
        <v>60</v>
      </c>
      <c r="D67" s="294">
        <v>0</v>
      </c>
      <c r="E67" s="294">
        <v>0</v>
      </c>
      <c r="F67" s="294">
        <v>0</v>
      </c>
      <c r="G67" s="294">
        <v>1761.2</v>
      </c>
      <c r="H67" s="294">
        <v>77.21</v>
      </c>
      <c r="I67" s="294">
        <v>0</v>
      </c>
      <c r="J67" s="294">
        <v>0</v>
      </c>
      <c r="K67" s="294">
        <v>0</v>
      </c>
      <c r="L67" s="294">
        <v>300.44</v>
      </c>
      <c r="M67" s="294">
        <v>0</v>
      </c>
      <c r="N67" s="294">
        <v>193.61</v>
      </c>
      <c r="O67" s="294">
        <v>0</v>
      </c>
      <c r="P67" s="294">
        <v>0</v>
      </c>
      <c r="Q67" s="294">
        <v>0</v>
      </c>
      <c r="R67" s="294">
        <v>0</v>
      </c>
      <c r="S67" s="300">
        <f>SUM(D67:R67)</f>
        <v>2332.46</v>
      </c>
    </row>
    <row r="68" spans="1:19" s="383" customFormat="1" ht="14.25" customHeight="1">
      <c r="A68" s="296" t="s">
        <v>155</v>
      </c>
      <c r="B68" s="297" t="s">
        <v>156</v>
      </c>
      <c r="C68" s="298">
        <v>61</v>
      </c>
      <c r="D68" s="299">
        <v>0</v>
      </c>
      <c r="E68" s="299">
        <v>0</v>
      </c>
      <c r="F68" s="299">
        <v>0</v>
      </c>
      <c r="G68" s="299">
        <v>0</v>
      </c>
      <c r="H68" s="299">
        <v>0</v>
      </c>
      <c r="I68" s="299">
        <v>0</v>
      </c>
      <c r="J68" s="299">
        <v>0</v>
      </c>
      <c r="K68" s="299">
        <v>0</v>
      </c>
      <c r="L68" s="299">
        <v>0</v>
      </c>
      <c r="M68" s="299">
        <v>0</v>
      </c>
      <c r="N68" s="299">
        <v>0</v>
      </c>
      <c r="O68" s="299">
        <v>0</v>
      </c>
      <c r="P68" s="299">
        <v>0</v>
      </c>
      <c r="Q68" s="299">
        <v>0</v>
      </c>
      <c r="R68" s="299">
        <v>0</v>
      </c>
      <c r="S68" s="300">
        <f>SUM(D68:R68)</f>
        <v>0</v>
      </c>
    </row>
    <row r="69" spans="1:19" s="383" customFormat="1" ht="14.25" customHeight="1" thickBot="1">
      <c r="A69" s="315"/>
      <c r="B69" s="316" t="s">
        <v>157</v>
      </c>
      <c r="C69" s="317">
        <v>62</v>
      </c>
      <c r="D69" s="318">
        <f aca="true" t="shared" si="5" ref="D69:S69">D66-D67-D68</f>
        <v>4207.539999999994</v>
      </c>
      <c r="E69" s="318">
        <f t="shared" si="5"/>
        <v>312.19000000006054</v>
      </c>
      <c r="F69" s="318">
        <f t="shared" si="5"/>
        <v>-464.48999999999796</v>
      </c>
      <c r="G69" s="318">
        <f t="shared" si="5"/>
        <v>1190.5200000000302</v>
      </c>
      <c r="H69" s="318">
        <f t="shared" si="5"/>
        <v>827.6500000000005</v>
      </c>
      <c r="I69" s="318">
        <f t="shared" si="5"/>
        <v>3471.0699999999997</v>
      </c>
      <c r="J69" s="318">
        <f t="shared" si="5"/>
        <v>423.869999999999</v>
      </c>
      <c r="K69" s="318">
        <f t="shared" si="5"/>
        <v>611.6099999999569</v>
      </c>
      <c r="L69" s="318">
        <f t="shared" si="5"/>
        <v>78181.11000000002</v>
      </c>
      <c r="M69" s="318">
        <f t="shared" si="5"/>
        <v>17.269999999998618</v>
      </c>
      <c r="N69" s="318">
        <f t="shared" si="5"/>
        <v>21781.429999999993</v>
      </c>
      <c r="O69" s="318">
        <f t="shared" si="5"/>
        <v>21721.88000000002</v>
      </c>
      <c r="P69" s="318">
        <f t="shared" si="5"/>
        <v>542.5700000000006</v>
      </c>
      <c r="Q69" s="318">
        <f t="shared" si="5"/>
        <v>374.47000000000025</v>
      </c>
      <c r="R69" s="318">
        <f t="shared" si="5"/>
        <v>0</v>
      </c>
      <c r="S69" s="319">
        <f t="shared" si="5"/>
        <v>133198.69000000038</v>
      </c>
    </row>
  </sheetData>
  <printOptions horizontalCentered="1"/>
  <pageMargins left="0" right="0" top="0.5905511811023623" bottom="0" header="0.31496062992125984" footer="0.31496062992125984"/>
  <pageSetup fitToHeight="1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70"/>
  <sheetViews>
    <sheetView zoomScale="75" zoomScaleNormal="75" workbookViewId="0" topLeftCell="A1">
      <pane xSplit="3" ySplit="8" topLeftCell="D5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80" sqref="I80"/>
    </sheetView>
  </sheetViews>
  <sheetFormatPr defaultColWidth="9.140625" defaultRowHeight="12.75"/>
  <cols>
    <col min="1" max="1" width="6.7109375" style="102" customWidth="1"/>
    <col min="2" max="2" width="43.00390625" style="102" customWidth="1"/>
    <col min="3" max="3" width="6.421875" style="102" bestFit="1" customWidth="1"/>
    <col min="4" max="11" width="7.28125" style="102" customWidth="1"/>
    <col min="12" max="16384" width="9.140625" style="102" customWidth="1"/>
  </cols>
  <sheetData>
    <row r="1" spans="1:10" ht="15.75">
      <c r="A1" s="97"/>
      <c r="B1" s="98"/>
      <c r="C1" s="99"/>
      <c r="D1" s="99"/>
      <c r="E1" s="99"/>
      <c r="F1" s="100"/>
      <c r="G1" s="99"/>
      <c r="H1" s="99"/>
      <c r="I1" s="101"/>
      <c r="J1" s="101"/>
    </row>
    <row r="2" spans="1:10" ht="15.75">
      <c r="A2" s="103" t="s">
        <v>351</v>
      </c>
      <c r="B2" s="98"/>
      <c r="C2" s="98"/>
      <c r="D2" s="98"/>
      <c r="E2" s="98"/>
      <c r="F2" s="100"/>
      <c r="G2" s="98"/>
      <c r="H2" s="98"/>
      <c r="I2" s="104"/>
      <c r="J2" s="104"/>
    </row>
    <row r="3" spans="1:8" ht="15.75">
      <c r="A3" s="103"/>
      <c r="B3" s="103"/>
      <c r="C3" s="103"/>
      <c r="D3" s="103"/>
      <c r="E3" s="103"/>
      <c r="F3" s="105"/>
      <c r="G3" s="103"/>
      <c r="H3" s="103"/>
    </row>
    <row r="4" ht="15.75">
      <c r="L4" s="106" t="s">
        <v>285</v>
      </c>
    </row>
    <row r="6" spans="1:12" ht="12.7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ht="16.5" thickBo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9" t="s">
        <v>34</v>
      </c>
    </row>
    <row r="8" spans="1:12" ht="13.5" thickBot="1">
      <c r="A8" s="384" t="s">
        <v>35</v>
      </c>
      <c r="B8" s="385" t="s">
        <v>36</v>
      </c>
      <c r="C8" s="386" t="s">
        <v>37</v>
      </c>
      <c r="D8" s="386" t="s">
        <v>38</v>
      </c>
      <c r="E8" s="386" t="s">
        <v>39</v>
      </c>
      <c r="F8" s="386" t="s">
        <v>271</v>
      </c>
      <c r="G8" s="386" t="s">
        <v>272</v>
      </c>
      <c r="H8" s="386" t="s">
        <v>273</v>
      </c>
      <c r="I8" s="386" t="s">
        <v>40</v>
      </c>
      <c r="J8" s="386" t="s">
        <v>350</v>
      </c>
      <c r="K8" s="386" t="s">
        <v>41</v>
      </c>
      <c r="L8" s="387" t="s">
        <v>163</v>
      </c>
    </row>
    <row r="9" spans="1:12" ht="12.75">
      <c r="A9" s="388" t="s">
        <v>42</v>
      </c>
      <c r="B9" s="389" t="s">
        <v>43</v>
      </c>
      <c r="C9" s="390">
        <v>1</v>
      </c>
      <c r="D9" s="320">
        <v>101.1</v>
      </c>
      <c r="E9" s="320">
        <v>397.99</v>
      </c>
      <c r="F9" s="320">
        <v>100.87</v>
      </c>
      <c r="G9" s="320">
        <v>170.3</v>
      </c>
      <c r="H9" s="320">
        <v>0</v>
      </c>
      <c r="I9" s="320">
        <v>928.62</v>
      </c>
      <c r="J9" s="320">
        <v>0</v>
      </c>
      <c r="K9" s="320">
        <v>506.05</v>
      </c>
      <c r="L9" s="391">
        <f aca="true" t="shared" si="0" ref="L9:L38">SUM(D9:K9)</f>
        <v>2204.9300000000003</v>
      </c>
    </row>
    <row r="10" spans="1:12" ht="12.75">
      <c r="A10" s="392" t="s">
        <v>44</v>
      </c>
      <c r="B10" s="393" t="s">
        <v>45</v>
      </c>
      <c r="C10" s="394">
        <v>2</v>
      </c>
      <c r="D10" s="321">
        <v>56.17</v>
      </c>
      <c r="E10" s="321">
        <v>129.33</v>
      </c>
      <c r="F10" s="321">
        <v>106.55</v>
      </c>
      <c r="G10" s="321">
        <v>0</v>
      </c>
      <c r="H10" s="321">
        <v>0</v>
      </c>
      <c r="I10" s="321">
        <v>854.87</v>
      </c>
      <c r="J10" s="321">
        <v>0</v>
      </c>
      <c r="K10" s="321">
        <v>127.29</v>
      </c>
      <c r="L10" s="395">
        <f t="shared" si="0"/>
        <v>1274.21</v>
      </c>
    </row>
    <row r="11" spans="1:12" ht="12.75">
      <c r="A11" s="392" t="s">
        <v>46</v>
      </c>
      <c r="B11" s="393" t="s">
        <v>47</v>
      </c>
      <c r="C11" s="394">
        <v>3</v>
      </c>
      <c r="D11" s="321">
        <v>9</v>
      </c>
      <c r="E11" s="321">
        <v>0</v>
      </c>
      <c r="F11" s="321">
        <v>0</v>
      </c>
      <c r="G11" s="321">
        <v>0</v>
      </c>
      <c r="H11" s="321">
        <v>0</v>
      </c>
      <c r="I11" s="321">
        <v>0</v>
      </c>
      <c r="J11" s="321">
        <v>0</v>
      </c>
      <c r="K11" s="321">
        <v>0</v>
      </c>
      <c r="L11" s="395">
        <f t="shared" si="0"/>
        <v>9</v>
      </c>
    </row>
    <row r="12" spans="1:12" ht="12.75">
      <c r="A12" s="392" t="s">
        <v>48</v>
      </c>
      <c r="B12" s="393" t="s">
        <v>49</v>
      </c>
      <c r="C12" s="394">
        <v>4</v>
      </c>
      <c r="D12" s="321">
        <v>0</v>
      </c>
      <c r="E12" s="321">
        <v>335.21</v>
      </c>
      <c r="F12" s="321">
        <v>211.36</v>
      </c>
      <c r="G12" s="321">
        <v>0</v>
      </c>
      <c r="H12" s="321">
        <v>156.54</v>
      </c>
      <c r="I12" s="321">
        <v>63.52</v>
      </c>
      <c r="J12" s="321">
        <v>0</v>
      </c>
      <c r="K12" s="321">
        <v>0</v>
      </c>
      <c r="L12" s="395">
        <f t="shared" si="0"/>
        <v>766.6299999999999</v>
      </c>
    </row>
    <row r="13" spans="1:12" ht="12.75">
      <c r="A13" s="392" t="s">
        <v>50</v>
      </c>
      <c r="B13" s="393" t="s">
        <v>51</v>
      </c>
      <c r="C13" s="394">
        <v>5</v>
      </c>
      <c r="D13" s="321">
        <v>0.79</v>
      </c>
      <c r="E13" s="321">
        <v>30</v>
      </c>
      <c r="F13" s="321">
        <v>65.84</v>
      </c>
      <c r="G13" s="321">
        <v>0</v>
      </c>
      <c r="H13" s="321">
        <v>0</v>
      </c>
      <c r="I13" s="321">
        <v>56.82</v>
      </c>
      <c r="J13" s="321">
        <v>0</v>
      </c>
      <c r="K13" s="321">
        <v>0</v>
      </c>
      <c r="L13" s="395">
        <f t="shared" si="0"/>
        <v>153.45</v>
      </c>
    </row>
    <row r="14" spans="1:12" ht="12.75">
      <c r="A14" s="392" t="s">
        <v>52</v>
      </c>
      <c r="B14" s="393" t="s">
        <v>53</v>
      </c>
      <c r="C14" s="394">
        <v>6</v>
      </c>
      <c r="D14" s="321">
        <v>0</v>
      </c>
      <c r="E14" s="321">
        <v>0</v>
      </c>
      <c r="F14" s="321">
        <v>1.69</v>
      </c>
      <c r="G14" s="321">
        <v>0</v>
      </c>
      <c r="H14" s="321">
        <v>0</v>
      </c>
      <c r="I14" s="321">
        <v>0</v>
      </c>
      <c r="J14" s="321">
        <v>0</v>
      </c>
      <c r="K14" s="321">
        <v>0</v>
      </c>
      <c r="L14" s="395">
        <f t="shared" si="0"/>
        <v>1.69</v>
      </c>
    </row>
    <row r="15" spans="1:12" ht="12.75">
      <c r="A15" s="392" t="s">
        <v>54</v>
      </c>
      <c r="B15" s="393" t="s">
        <v>55</v>
      </c>
      <c r="C15" s="394">
        <v>7</v>
      </c>
      <c r="D15" s="321">
        <v>0</v>
      </c>
      <c r="E15" s="321">
        <v>0</v>
      </c>
      <c r="F15" s="321">
        <v>0</v>
      </c>
      <c r="G15" s="321">
        <v>0</v>
      </c>
      <c r="H15" s="321">
        <v>0</v>
      </c>
      <c r="I15" s="321">
        <v>0</v>
      </c>
      <c r="J15" s="321">
        <v>0</v>
      </c>
      <c r="K15" s="321">
        <v>0</v>
      </c>
      <c r="L15" s="395">
        <f t="shared" si="0"/>
        <v>0</v>
      </c>
    </row>
    <row r="16" spans="1:12" ht="12.75">
      <c r="A16" s="392" t="s">
        <v>56</v>
      </c>
      <c r="B16" s="393" t="s">
        <v>57</v>
      </c>
      <c r="C16" s="394">
        <v>8</v>
      </c>
      <c r="D16" s="321">
        <v>41.17</v>
      </c>
      <c r="E16" s="321">
        <v>55.21</v>
      </c>
      <c r="F16" s="321">
        <v>299.67</v>
      </c>
      <c r="G16" s="321">
        <v>594.3</v>
      </c>
      <c r="H16" s="321">
        <v>5.02</v>
      </c>
      <c r="I16" s="321">
        <v>404.94</v>
      </c>
      <c r="J16" s="321">
        <v>0</v>
      </c>
      <c r="K16" s="321">
        <v>985.99</v>
      </c>
      <c r="L16" s="395">
        <f t="shared" si="0"/>
        <v>2386.3</v>
      </c>
    </row>
    <row r="17" spans="1:12" ht="12.75">
      <c r="A17" s="392" t="s">
        <v>58</v>
      </c>
      <c r="B17" s="393" t="s">
        <v>59</v>
      </c>
      <c r="C17" s="394">
        <v>9</v>
      </c>
      <c r="D17" s="321">
        <v>288.42</v>
      </c>
      <c r="E17" s="321">
        <v>288.42</v>
      </c>
      <c r="F17" s="321">
        <v>1157.26</v>
      </c>
      <c r="G17" s="321">
        <v>456.72</v>
      </c>
      <c r="H17" s="321">
        <v>2.4</v>
      </c>
      <c r="I17" s="321">
        <v>2015.47</v>
      </c>
      <c r="J17" s="321">
        <v>0</v>
      </c>
      <c r="K17" s="321">
        <v>448.89</v>
      </c>
      <c r="L17" s="395">
        <f t="shared" si="0"/>
        <v>4657.58</v>
      </c>
    </row>
    <row r="18" spans="1:12" ht="12.75">
      <c r="A18" s="392" t="s">
        <v>60</v>
      </c>
      <c r="B18" s="393" t="s">
        <v>61</v>
      </c>
      <c r="C18" s="394">
        <v>10</v>
      </c>
      <c r="D18" s="321">
        <v>104</v>
      </c>
      <c r="E18" s="321">
        <v>86.01</v>
      </c>
      <c r="F18" s="321">
        <v>379.43</v>
      </c>
      <c r="G18" s="321">
        <v>64.69</v>
      </c>
      <c r="H18" s="321">
        <v>0</v>
      </c>
      <c r="I18" s="321">
        <v>696.97</v>
      </c>
      <c r="J18" s="321">
        <v>0</v>
      </c>
      <c r="K18" s="321">
        <v>113.37</v>
      </c>
      <c r="L18" s="395">
        <f t="shared" si="0"/>
        <v>1444.4700000000003</v>
      </c>
    </row>
    <row r="19" spans="1:12" ht="12.75">
      <c r="A19" s="392" t="s">
        <v>62</v>
      </c>
      <c r="B19" s="393" t="s">
        <v>63</v>
      </c>
      <c r="C19" s="394">
        <v>11</v>
      </c>
      <c r="D19" s="321">
        <v>0</v>
      </c>
      <c r="E19" s="321">
        <v>0</v>
      </c>
      <c r="F19" s="321">
        <v>0</v>
      </c>
      <c r="G19" s="321">
        <v>0</v>
      </c>
      <c r="H19" s="321">
        <v>0</v>
      </c>
      <c r="I19" s="321">
        <v>0</v>
      </c>
      <c r="J19" s="321">
        <v>0</v>
      </c>
      <c r="K19" s="321">
        <v>0</v>
      </c>
      <c r="L19" s="395">
        <f t="shared" si="0"/>
        <v>0</v>
      </c>
    </row>
    <row r="20" spans="1:12" ht="12.75">
      <c r="A20" s="392" t="s">
        <v>64</v>
      </c>
      <c r="B20" s="393" t="s">
        <v>65</v>
      </c>
      <c r="C20" s="394">
        <v>12</v>
      </c>
      <c r="D20" s="321">
        <v>5.02</v>
      </c>
      <c r="E20" s="321">
        <v>5.77</v>
      </c>
      <c r="F20" s="321">
        <v>22.46</v>
      </c>
      <c r="G20" s="321">
        <v>0.49</v>
      </c>
      <c r="H20" s="321">
        <v>0</v>
      </c>
      <c r="I20" s="321">
        <v>50.79</v>
      </c>
      <c r="J20" s="321">
        <v>0</v>
      </c>
      <c r="K20" s="321">
        <v>3.86</v>
      </c>
      <c r="L20" s="395">
        <f t="shared" si="0"/>
        <v>88.39</v>
      </c>
    </row>
    <row r="21" spans="1:12" ht="12.75">
      <c r="A21" s="392" t="s">
        <v>66</v>
      </c>
      <c r="B21" s="393" t="s">
        <v>67</v>
      </c>
      <c r="C21" s="394">
        <v>13</v>
      </c>
      <c r="D21" s="321">
        <v>0</v>
      </c>
      <c r="E21" s="321">
        <v>0</v>
      </c>
      <c r="F21" s="321">
        <v>0</v>
      </c>
      <c r="G21" s="321">
        <v>0</v>
      </c>
      <c r="H21" s="321">
        <v>0</v>
      </c>
      <c r="I21" s="321">
        <v>0</v>
      </c>
      <c r="J21" s="321">
        <v>0</v>
      </c>
      <c r="K21" s="321">
        <v>0</v>
      </c>
      <c r="L21" s="395">
        <f t="shared" si="0"/>
        <v>0</v>
      </c>
    </row>
    <row r="22" spans="1:12" ht="12.75">
      <c r="A22" s="392" t="s">
        <v>68</v>
      </c>
      <c r="B22" s="393" t="s">
        <v>69</v>
      </c>
      <c r="C22" s="394">
        <v>14</v>
      </c>
      <c r="D22" s="321">
        <v>0</v>
      </c>
      <c r="E22" s="321">
        <v>4.2</v>
      </c>
      <c r="F22" s="321">
        <v>0</v>
      </c>
      <c r="G22" s="321">
        <v>0</v>
      </c>
      <c r="H22" s="321">
        <v>0</v>
      </c>
      <c r="I22" s="321">
        <v>1.8</v>
      </c>
      <c r="J22" s="321">
        <v>0</v>
      </c>
      <c r="K22" s="321">
        <v>0</v>
      </c>
      <c r="L22" s="395">
        <f t="shared" si="0"/>
        <v>6</v>
      </c>
    </row>
    <row r="23" spans="1:12" ht="12.75">
      <c r="A23" s="392" t="s">
        <v>70</v>
      </c>
      <c r="B23" s="393" t="s">
        <v>71</v>
      </c>
      <c r="C23" s="394">
        <v>15</v>
      </c>
      <c r="D23" s="321">
        <v>0.27</v>
      </c>
      <c r="E23" s="321">
        <v>0</v>
      </c>
      <c r="F23" s="321">
        <v>0</v>
      </c>
      <c r="G23" s="321">
        <v>0</v>
      </c>
      <c r="H23" s="321">
        <v>0</v>
      </c>
      <c r="I23" s="321">
        <v>0</v>
      </c>
      <c r="J23" s="321">
        <v>0</v>
      </c>
      <c r="K23" s="321">
        <v>0</v>
      </c>
      <c r="L23" s="395">
        <f t="shared" si="0"/>
        <v>0.27</v>
      </c>
    </row>
    <row r="24" spans="1:12" ht="12.75">
      <c r="A24" s="392" t="s">
        <v>72</v>
      </c>
      <c r="B24" s="393" t="s">
        <v>73</v>
      </c>
      <c r="C24" s="394">
        <v>16</v>
      </c>
      <c r="D24" s="321">
        <v>0</v>
      </c>
      <c r="E24" s="321">
        <v>0</v>
      </c>
      <c r="F24" s="321">
        <v>0.07</v>
      </c>
      <c r="G24" s="321">
        <v>0</v>
      </c>
      <c r="H24" s="321">
        <v>0</v>
      </c>
      <c r="I24" s="321">
        <v>32.58</v>
      </c>
      <c r="J24" s="321">
        <v>0</v>
      </c>
      <c r="K24" s="321">
        <v>0</v>
      </c>
      <c r="L24" s="395">
        <f t="shared" si="0"/>
        <v>32.65</v>
      </c>
    </row>
    <row r="25" spans="1:12" ht="12.75">
      <c r="A25" s="392" t="s">
        <v>74</v>
      </c>
      <c r="B25" s="393" t="s">
        <v>75</v>
      </c>
      <c r="C25" s="394">
        <v>17</v>
      </c>
      <c r="D25" s="321">
        <v>0</v>
      </c>
      <c r="E25" s="321">
        <v>0</v>
      </c>
      <c r="F25" s="321">
        <v>0</v>
      </c>
      <c r="G25" s="321">
        <v>0</v>
      </c>
      <c r="H25" s="321">
        <v>0</v>
      </c>
      <c r="I25" s="321">
        <v>0</v>
      </c>
      <c r="J25" s="321">
        <v>0</v>
      </c>
      <c r="K25" s="321">
        <v>0</v>
      </c>
      <c r="L25" s="395">
        <f t="shared" si="0"/>
        <v>0</v>
      </c>
    </row>
    <row r="26" spans="1:12" ht="12.75">
      <c r="A26" s="392" t="s">
        <v>76</v>
      </c>
      <c r="B26" s="393" t="s">
        <v>77</v>
      </c>
      <c r="C26" s="394">
        <v>18</v>
      </c>
      <c r="D26" s="321">
        <v>2</v>
      </c>
      <c r="E26" s="321">
        <v>0</v>
      </c>
      <c r="F26" s="321">
        <v>0</v>
      </c>
      <c r="G26" s="321">
        <v>0</v>
      </c>
      <c r="H26" s="321">
        <v>0</v>
      </c>
      <c r="I26" s="321">
        <v>0</v>
      </c>
      <c r="J26" s="321">
        <v>0</v>
      </c>
      <c r="K26" s="321">
        <v>0</v>
      </c>
      <c r="L26" s="395">
        <f t="shared" si="0"/>
        <v>2</v>
      </c>
    </row>
    <row r="27" spans="1:12" ht="12.75">
      <c r="A27" s="392" t="s">
        <v>78</v>
      </c>
      <c r="B27" s="393" t="s">
        <v>79</v>
      </c>
      <c r="C27" s="394">
        <v>19</v>
      </c>
      <c r="D27" s="321">
        <v>0</v>
      </c>
      <c r="E27" s="321">
        <v>0</v>
      </c>
      <c r="F27" s="321">
        <v>0</v>
      </c>
      <c r="G27" s="321">
        <v>0</v>
      </c>
      <c r="H27" s="321">
        <v>0</v>
      </c>
      <c r="I27" s="321">
        <v>0</v>
      </c>
      <c r="J27" s="321">
        <v>0</v>
      </c>
      <c r="K27" s="321">
        <v>0</v>
      </c>
      <c r="L27" s="395">
        <f t="shared" si="0"/>
        <v>0</v>
      </c>
    </row>
    <row r="28" spans="1:12" ht="12.75">
      <c r="A28" s="392" t="s">
        <v>80</v>
      </c>
      <c r="B28" s="393" t="s">
        <v>81</v>
      </c>
      <c r="C28" s="394">
        <v>20</v>
      </c>
      <c r="D28" s="321">
        <v>0</v>
      </c>
      <c r="E28" s="321">
        <v>0</v>
      </c>
      <c r="F28" s="321">
        <v>0</v>
      </c>
      <c r="G28" s="321">
        <v>0</v>
      </c>
      <c r="H28" s="321">
        <v>0</v>
      </c>
      <c r="I28" s="321">
        <v>0</v>
      </c>
      <c r="J28" s="321">
        <v>0</v>
      </c>
      <c r="K28" s="321">
        <v>0</v>
      </c>
      <c r="L28" s="395">
        <f t="shared" si="0"/>
        <v>0</v>
      </c>
    </row>
    <row r="29" spans="1:12" ht="12.75">
      <c r="A29" s="392" t="s">
        <v>82</v>
      </c>
      <c r="B29" s="393" t="s">
        <v>83</v>
      </c>
      <c r="C29" s="394">
        <v>21</v>
      </c>
      <c r="D29" s="321">
        <v>0</v>
      </c>
      <c r="E29" s="321">
        <v>0</v>
      </c>
      <c r="F29" s="321">
        <v>0</v>
      </c>
      <c r="G29" s="321">
        <v>0</v>
      </c>
      <c r="H29" s="321">
        <v>0</v>
      </c>
      <c r="I29" s="321">
        <v>65.61</v>
      </c>
      <c r="J29" s="321">
        <v>0</v>
      </c>
      <c r="K29" s="321">
        <v>0</v>
      </c>
      <c r="L29" s="395">
        <f t="shared" si="0"/>
        <v>65.61</v>
      </c>
    </row>
    <row r="30" spans="1:12" ht="12.75">
      <c r="A30" s="392" t="s">
        <v>84</v>
      </c>
      <c r="B30" s="393" t="s">
        <v>85</v>
      </c>
      <c r="C30" s="394">
        <v>22</v>
      </c>
      <c r="D30" s="321">
        <v>0</v>
      </c>
      <c r="E30" s="321">
        <v>0</v>
      </c>
      <c r="F30" s="321">
        <v>0</v>
      </c>
      <c r="G30" s="321">
        <v>0</v>
      </c>
      <c r="H30" s="321">
        <v>0</v>
      </c>
      <c r="I30" s="321">
        <v>0</v>
      </c>
      <c r="J30" s="321">
        <v>0</v>
      </c>
      <c r="K30" s="321">
        <v>0</v>
      </c>
      <c r="L30" s="395">
        <f t="shared" si="0"/>
        <v>0</v>
      </c>
    </row>
    <row r="31" spans="1:12" ht="12.75">
      <c r="A31" s="392" t="s">
        <v>86</v>
      </c>
      <c r="B31" s="393" t="s">
        <v>87</v>
      </c>
      <c r="C31" s="394">
        <v>23</v>
      </c>
      <c r="D31" s="321">
        <v>0</v>
      </c>
      <c r="E31" s="321">
        <v>0</v>
      </c>
      <c r="F31" s="321">
        <v>0</v>
      </c>
      <c r="G31" s="321">
        <v>0</v>
      </c>
      <c r="H31" s="321">
        <v>0</v>
      </c>
      <c r="I31" s="321">
        <v>0</v>
      </c>
      <c r="J31" s="321">
        <v>0</v>
      </c>
      <c r="K31" s="321">
        <v>0</v>
      </c>
      <c r="L31" s="395">
        <f t="shared" si="0"/>
        <v>0</v>
      </c>
    </row>
    <row r="32" spans="1:12" ht="12.75">
      <c r="A32" s="392" t="s">
        <v>88</v>
      </c>
      <c r="B32" s="393" t="s">
        <v>89</v>
      </c>
      <c r="C32" s="394">
        <v>24</v>
      </c>
      <c r="D32" s="321">
        <v>31.67</v>
      </c>
      <c r="E32" s="321">
        <v>49</v>
      </c>
      <c r="F32" s="321">
        <v>8.45</v>
      </c>
      <c r="G32" s="321">
        <v>0</v>
      </c>
      <c r="H32" s="321">
        <v>0</v>
      </c>
      <c r="I32" s="321">
        <v>19.27</v>
      </c>
      <c r="J32" s="321">
        <v>0</v>
      </c>
      <c r="K32" s="321">
        <v>0</v>
      </c>
      <c r="L32" s="395">
        <f t="shared" si="0"/>
        <v>108.39</v>
      </c>
    </row>
    <row r="33" spans="1:12" ht="12.75">
      <c r="A33" s="392" t="s">
        <v>90</v>
      </c>
      <c r="B33" s="393" t="s">
        <v>91</v>
      </c>
      <c r="C33" s="394">
        <v>25</v>
      </c>
      <c r="D33" s="321">
        <v>212.5</v>
      </c>
      <c r="E33" s="321">
        <v>479.2</v>
      </c>
      <c r="F33" s="321">
        <v>207.66</v>
      </c>
      <c r="G33" s="321">
        <v>0</v>
      </c>
      <c r="H33" s="321">
        <v>0</v>
      </c>
      <c r="I33" s="321">
        <v>484.15</v>
      </c>
      <c r="J33" s="321">
        <v>0</v>
      </c>
      <c r="K33" s="321">
        <v>82.31</v>
      </c>
      <c r="L33" s="395">
        <f t="shared" si="0"/>
        <v>1465.82</v>
      </c>
    </row>
    <row r="34" spans="1:12" ht="12.75">
      <c r="A34" s="392" t="s">
        <v>92</v>
      </c>
      <c r="B34" s="393" t="s">
        <v>93</v>
      </c>
      <c r="C34" s="394">
        <v>26</v>
      </c>
      <c r="D34" s="321">
        <v>0</v>
      </c>
      <c r="E34" s="321">
        <v>0</v>
      </c>
      <c r="F34" s="321">
        <v>0</v>
      </c>
      <c r="G34" s="321">
        <v>0</v>
      </c>
      <c r="H34" s="321">
        <v>0</v>
      </c>
      <c r="I34" s="321">
        <v>0</v>
      </c>
      <c r="J34" s="321">
        <v>0</v>
      </c>
      <c r="K34" s="321">
        <v>0</v>
      </c>
      <c r="L34" s="395">
        <f t="shared" si="0"/>
        <v>0</v>
      </c>
    </row>
    <row r="35" spans="1:12" ht="12.75">
      <c r="A35" s="392" t="s">
        <v>94</v>
      </c>
      <c r="B35" s="393" t="s">
        <v>95</v>
      </c>
      <c r="C35" s="394">
        <v>27</v>
      </c>
      <c r="D35" s="321">
        <v>0</v>
      </c>
      <c r="E35" s="321">
        <v>0</v>
      </c>
      <c r="F35" s="321">
        <v>0</v>
      </c>
      <c r="G35" s="321">
        <v>0</v>
      </c>
      <c r="H35" s="321">
        <v>0</v>
      </c>
      <c r="I35" s="321">
        <v>0</v>
      </c>
      <c r="J35" s="321">
        <v>0</v>
      </c>
      <c r="K35" s="321">
        <v>0</v>
      </c>
      <c r="L35" s="395">
        <f t="shared" si="0"/>
        <v>0</v>
      </c>
    </row>
    <row r="36" spans="1:12" ht="12.75">
      <c r="A36" s="392" t="s">
        <v>96</v>
      </c>
      <c r="B36" s="393" t="s">
        <v>97</v>
      </c>
      <c r="C36" s="394">
        <v>28</v>
      </c>
      <c r="D36" s="321">
        <v>0</v>
      </c>
      <c r="E36" s="321">
        <v>0</v>
      </c>
      <c r="F36" s="321">
        <v>0</v>
      </c>
      <c r="G36" s="321">
        <v>0</v>
      </c>
      <c r="H36" s="321">
        <v>0</v>
      </c>
      <c r="I36" s="321">
        <v>0</v>
      </c>
      <c r="J36" s="321">
        <v>0</v>
      </c>
      <c r="K36" s="321">
        <v>0</v>
      </c>
      <c r="L36" s="395">
        <f t="shared" si="0"/>
        <v>0</v>
      </c>
    </row>
    <row r="37" spans="1:12" ht="12.75">
      <c r="A37" s="392" t="s">
        <v>98</v>
      </c>
      <c r="B37" s="393" t="s">
        <v>99</v>
      </c>
      <c r="C37" s="394">
        <v>29</v>
      </c>
      <c r="D37" s="321">
        <v>0</v>
      </c>
      <c r="E37" s="321">
        <v>0</v>
      </c>
      <c r="F37" s="321">
        <v>0</v>
      </c>
      <c r="G37" s="321">
        <v>0</v>
      </c>
      <c r="H37" s="321">
        <v>0</v>
      </c>
      <c r="I37" s="321">
        <v>0</v>
      </c>
      <c r="J37" s="321">
        <v>0</v>
      </c>
      <c r="K37" s="321">
        <v>0</v>
      </c>
      <c r="L37" s="395">
        <f t="shared" si="0"/>
        <v>0</v>
      </c>
    </row>
    <row r="38" spans="1:12" ht="13.5" thickBot="1">
      <c r="A38" s="396" t="s">
        <v>100</v>
      </c>
      <c r="B38" s="397" t="s">
        <v>101</v>
      </c>
      <c r="C38" s="398">
        <v>30</v>
      </c>
      <c r="D38" s="322">
        <v>0</v>
      </c>
      <c r="E38" s="322">
        <v>0</v>
      </c>
      <c r="F38" s="322">
        <v>0</v>
      </c>
      <c r="G38" s="322">
        <v>0</v>
      </c>
      <c r="H38" s="322">
        <v>0</v>
      </c>
      <c r="I38" s="322">
        <v>0</v>
      </c>
      <c r="J38" s="322">
        <v>0</v>
      </c>
      <c r="K38" s="322">
        <v>0</v>
      </c>
      <c r="L38" s="395">
        <f t="shared" si="0"/>
        <v>0</v>
      </c>
    </row>
    <row r="39" spans="1:12" ht="13.5" thickBot="1">
      <c r="A39" s="399"/>
      <c r="B39" s="400" t="s">
        <v>102</v>
      </c>
      <c r="C39" s="401">
        <v>31</v>
      </c>
      <c r="D39" s="323">
        <f aca="true" t="shared" si="1" ref="D39:L39">SUM(D9:D38)</f>
        <v>852.1099999999999</v>
      </c>
      <c r="E39" s="323">
        <f t="shared" si="1"/>
        <v>1860.3400000000001</v>
      </c>
      <c r="F39" s="323">
        <f t="shared" si="1"/>
        <v>2561.31</v>
      </c>
      <c r="G39" s="323">
        <f t="shared" si="1"/>
        <v>1286.5</v>
      </c>
      <c r="H39" s="323">
        <f t="shared" si="1"/>
        <v>163.96</v>
      </c>
      <c r="I39" s="323">
        <f t="shared" si="1"/>
        <v>5675.41</v>
      </c>
      <c r="J39" s="323">
        <f t="shared" si="1"/>
        <v>0</v>
      </c>
      <c r="K39" s="323">
        <f t="shared" si="1"/>
        <v>2267.7599999999998</v>
      </c>
      <c r="L39" s="402">
        <f t="shared" si="1"/>
        <v>14667.390000000001</v>
      </c>
    </row>
    <row r="40" spans="1:12" ht="12.75">
      <c r="A40" s="388" t="s">
        <v>103</v>
      </c>
      <c r="B40" s="389" t="s">
        <v>104</v>
      </c>
      <c r="C40" s="390">
        <v>32</v>
      </c>
      <c r="D40" s="320">
        <v>0</v>
      </c>
      <c r="E40" s="320">
        <v>0</v>
      </c>
      <c r="F40" s="320">
        <v>724.51</v>
      </c>
      <c r="G40" s="320">
        <v>1224.69</v>
      </c>
      <c r="H40" s="320">
        <v>0</v>
      </c>
      <c r="I40" s="320">
        <v>0</v>
      </c>
      <c r="J40" s="320">
        <v>0</v>
      </c>
      <c r="K40" s="320">
        <v>0</v>
      </c>
      <c r="L40" s="395">
        <f aca="true" t="shared" si="2" ref="L40:L65">SUM(D40:K40)</f>
        <v>1949.2</v>
      </c>
    </row>
    <row r="41" spans="1:12" ht="12.75">
      <c r="A41" s="392" t="s">
        <v>105</v>
      </c>
      <c r="B41" s="393" t="s">
        <v>106</v>
      </c>
      <c r="C41" s="394">
        <v>33</v>
      </c>
      <c r="D41" s="321">
        <v>859.8</v>
      </c>
      <c r="E41" s="321">
        <v>1156.99</v>
      </c>
      <c r="F41" s="321">
        <v>1564.05</v>
      </c>
      <c r="G41" s="321">
        <v>210.35</v>
      </c>
      <c r="H41" s="321">
        <v>0</v>
      </c>
      <c r="I41" s="321">
        <v>4568.51</v>
      </c>
      <c r="J41" s="321">
        <v>10</v>
      </c>
      <c r="K41" s="321">
        <v>2388.02</v>
      </c>
      <c r="L41" s="395">
        <f t="shared" si="2"/>
        <v>10757.720000000001</v>
      </c>
    </row>
    <row r="42" spans="1:12" ht="12.75">
      <c r="A42" s="392" t="s">
        <v>107</v>
      </c>
      <c r="B42" s="393" t="s">
        <v>108</v>
      </c>
      <c r="C42" s="394">
        <v>34</v>
      </c>
      <c r="D42" s="321">
        <v>0</v>
      </c>
      <c r="E42" s="321">
        <v>1521.36</v>
      </c>
      <c r="F42" s="321">
        <v>298.31</v>
      </c>
      <c r="G42" s="321">
        <v>0</v>
      </c>
      <c r="H42" s="321">
        <v>211.5</v>
      </c>
      <c r="I42" s="321">
        <v>64.31</v>
      </c>
      <c r="J42" s="321">
        <v>0</v>
      </c>
      <c r="K42" s="321">
        <v>0</v>
      </c>
      <c r="L42" s="395">
        <f t="shared" si="2"/>
        <v>2095.48</v>
      </c>
    </row>
    <row r="43" spans="1:12" ht="12.75">
      <c r="A43" s="392" t="s">
        <v>109</v>
      </c>
      <c r="B43" s="393" t="s">
        <v>110</v>
      </c>
      <c r="C43" s="394">
        <v>35</v>
      </c>
      <c r="D43" s="321">
        <v>0</v>
      </c>
      <c r="E43" s="321">
        <v>0</v>
      </c>
      <c r="F43" s="321">
        <v>0</v>
      </c>
      <c r="G43" s="321">
        <v>0</v>
      </c>
      <c r="H43" s="321">
        <v>0</v>
      </c>
      <c r="I43" s="321">
        <v>0</v>
      </c>
      <c r="J43" s="321">
        <v>0</v>
      </c>
      <c r="K43" s="321">
        <v>0</v>
      </c>
      <c r="L43" s="395">
        <f t="shared" si="2"/>
        <v>0</v>
      </c>
    </row>
    <row r="44" spans="1:12" ht="12.75">
      <c r="A44" s="392" t="s">
        <v>111</v>
      </c>
      <c r="B44" s="393" t="s">
        <v>112</v>
      </c>
      <c r="C44" s="394">
        <v>36</v>
      </c>
      <c r="D44" s="321">
        <v>0</v>
      </c>
      <c r="E44" s="321">
        <v>0</v>
      </c>
      <c r="F44" s="321">
        <v>0</v>
      </c>
      <c r="G44" s="321">
        <v>0</v>
      </c>
      <c r="H44" s="321">
        <v>0</v>
      </c>
      <c r="I44" s="321">
        <v>0</v>
      </c>
      <c r="J44" s="321">
        <v>0</v>
      </c>
      <c r="K44" s="321">
        <v>0</v>
      </c>
      <c r="L44" s="395">
        <f t="shared" si="2"/>
        <v>0</v>
      </c>
    </row>
    <row r="45" spans="1:12" ht="12.75">
      <c r="A45" s="392" t="s">
        <v>113</v>
      </c>
      <c r="B45" s="393" t="s">
        <v>114</v>
      </c>
      <c r="C45" s="394">
        <v>37</v>
      </c>
      <c r="D45" s="321">
        <v>0</v>
      </c>
      <c r="E45" s="321">
        <v>0</v>
      </c>
      <c r="F45" s="321">
        <v>27.15</v>
      </c>
      <c r="G45" s="321">
        <v>0</v>
      </c>
      <c r="H45" s="321">
        <v>0</v>
      </c>
      <c r="I45" s="321">
        <v>0</v>
      </c>
      <c r="J45" s="321">
        <v>0</v>
      </c>
      <c r="K45" s="321">
        <v>0</v>
      </c>
      <c r="L45" s="395">
        <f t="shared" si="2"/>
        <v>27.15</v>
      </c>
    </row>
    <row r="46" spans="1:12" ht="12.75">
      <c r="A46" s="392" t="s">
        <v>115</v>
      </c>
      <c r="B46" s="393" t="s">
        <v>116</v>
      </c>
      <c r="C46" s="394">
        <v>38</v>
      </c>
      <c r="D46" s="321">
        <v>0</v>
      </c>
      <c r="E46" s="321">
        <v>0</v>
      </c>
      <c r="F46" s="321">
        <v>0</v>
      </c>
      <c r="G46" s="321">
        <v>0</v>
      </c>
      <c r="H46" s="321">
        <v>0</v>
      </c>
      <c r="I46" s="321">
        <v>0</v>
      </c>
      <c r="J46" s="321">
        <v>0</v>
      </c>
      <c r="K46" s="321">
        <v>0</v>
      </c>
      <c r="L46" s="395">
        <f t="shared" si="2"/>
        <v>0</v>
      </c>
    </row>
    <row r="47" spans="1:12" ht="12.75">
      <c r="A47" s="392" t="s">
        <v>117</v>
      </c>
      <c r="B47" s="393" t="s">
        <v>118</v>
      </c>
      <c r="C47" s="394">
        <v>39</v>
      </c>
      <c r="D47" s="321">
        <v>0</v>
      </c>
      <c r="E47" s="321">
        <v>0</v>
      </c>
      <c r="F47" s="321">
        <v>0</v>
      </c>
      <c r="G47" s="321">
        <v>0</v>
      </c>
      <c r="H47" s="321">
        <v>0</v>
      </c>
      <c r="I47" s="321">
        <v>0</v>
      </c>
      <c r="J47" s="321">
        <v>0</v>
      </c>
      <c r="K47" s="321">
        <v>0</v>
      </c>
      <c r="L47" s="395">
        <f t="shared" si="2"/>
        <v>0</v>
      </c>
    </row>
    <row r="48" spans="1:12" ht="12.75">
      <c r="A48" s="392" t="s">
        <v>119</v>
      </c>
      <c r="B48" s="393" t="s">
        <v>120</v>
      </c>
      <c r="C48" s="394">
        <v>40</v>
      </c>
      <c r="D48" s="321">
        <v>0</v>
      </c>
      <c r="E48" s="321">
        <v>0</v>
      </c>
      <c r="F48" s="321">
        <v>0</v>
      </c>
      <c r="G48" s="321">
        <v>0</v>
      </c>
      <c r="H48" s="321">
        <v>0</v>
      </c>
      <c r="I48" s="321">
        <v>17.07</v>
      </c>
      <c r="J48" s="321">
        <v>0</v>
      </c>
      <c r="K48" s="321">
        <v>0</v>
      </c>
      <c r="L48" s="395">
        <f t="shared" si="2"/>
        <v>17.07</v>
      </c>
    </row>
    <row r="49" spans="1:12" ht="12.75">
      <c r="A49" s="392" t="s">
        <v>121</v>
      </c>
      <c r="B49" s="393" t="s">
        <v>122</v>
      </c>
      <c r="C49" s="394">
        <v>41</v>
      </c>
      <c r="D49" s="321">
        <v>0</v>
      </c>
      <c r="E49" s="321">
        <v>0</v>
      </c>
      <c r="F49" s="321">
        <v>0</v>
      </c>
      <c r="G49" s="321">
        <v>0</v>
      </c>
      <c r="H49" s="321">
        <v>0</v>
      </c>
      <c r="I49" s="321">
        <v>0</v>
      </c>
      <c r="J49" s="321">
        <v>0</v>
      </c>
      <c r="K49" s="321">
        <v>0</v>
      </c>
      <c r="L49" s="395">
        <f t="shared" si="2"/>
        <v>0</v>
      </c>
    </row>
    <row r="50" spans="1:12" ht="12.75">
      <c r="A50" s="392" t="s">
        <v>123</v>
      </c>
      <c r="B50" s="393" t="s">
        <v>124</v>
      </c>
      <c r="C50" s="394">
        <v>42</v>
      </c>
      <c r="D50" s="321">
        <v>0</v>
      </c>
      <c r="E50" s="321">
        <v>0</v>
      </c>
      <c r="F50" s="321">
        <v>0</v>
      </c>
      <c r="G50" s="321">
        <v>0</v>
      </c>
      <c r="H50" s="321">
        <v>0</v>
      </c>
      <c r="I50" s="321">
        <v>0</v>
      </c>
      <c r="J50" s="321">
        <v>0</v>
      </c>
      <c r="K50" s="321">
        <v>0</v>
      </c>
      <c r="L50" s="395">
        <f t="shared" si="2"/>
        <v>0</v>
      </c>
    </row>
    <row r="51" spans="1:12" ht="12.75">
      <c r="A51" s="392" t="s">
        <v>125</v>
      </c>
      <c r="B51" s="393" t="s">
        <v>75</v>
      </c>
      <c r="C51" s="394">
        <v>43</v>
      </c>
      <c r="D51" s="321">
        <v>0</v>
      </c>
      <c r="E51" s="321">
        <v>0</v>
      </c>
      <c r="F51" s="321">
        <v>0</v>
      </c>
      <c r="G51" s="321">
        <v>0</v>
      </c>
      <c r="H51" s="321">
        <v>0</v>
      </c>
      <c r="I51" s="321">
        <v>0</v>
      </c>
      <c r="J51" s="321">
        <v>0</v>
      </c>
      <c r="K51" s="321">
        <v>0</v>
      </c>
      <c r="L51" s="395">
        <f t="shared" si="2"/>
        <v>0</v>
      </c>
    </row>
    <row r="52" spans="1:12" ht="12.75">
      <c r="A52" s="392" t="s">
        <v>126</v>
      </c>
      <c r="B52" s="393" t="s">
        <v>77</v>
      </c>
      <c r="C52" s="394">
        <v>44</v>
      </c>
      <c r="D52" s="321">
        <v>0</v>
      </c>
      <c r="E52" s="321">
        <v>0</v>
      </c>
      <c r="F52" s="321">
        <v>0</v>
      </c>
      <c r="G52" s="321">
        <v>0</v>
      </c>
      <c r="H52" s="321">
        <v>0</v>
      </c>
      <c r="I52" s="321">
        <v>0</v>
      </c>
      <c r="J52" s="321">
        <v>0</v>
      </c>
      <c r="K52" s="321">
        <v>0</v>
      </c>
      <c r="L52" s="395">
        <f t="shared" si="2"/>
        <v>0</v>
      </c>
    </row>
    <row r="53" spans="1:12" ht="12.75">
      <c r="A53" s="392" t="s">
        <v>127</v>
      </c>
      <c r="B53" s="393" t="s">
        <v>128</v>
      </c>
      <c r="C53" s="394">
        <v>45</v>
      </c>
      <c r="D53" s="321">
        <v>0</v>
      </c>
      <c r="E53" s="321">
        <v>0</v>
      </c>
      <c r="F53" s="321">
        <v>0</v>
      </c>
      <c r="G53" s="321">
        <v>0</v>
      </c>
      <c r="H53" s="321">
        <v>0</v>
      </c>
      <c r="I53" s="321">
        <v>0</v>
      </c>
      <c r="J53" s="321">
        <v>0</v>
      </c>
      <c r="K53" s="321">
        <v>0</v>
      </c>
      <c r="L53" s="395">
        <f t="shared" si="2"/>
        <v>0</v>
      </c>
    </row>
    <row r="54" spans="1:12" ht="12.75">
      <c r="A54" s="392" t="s">
        <v>129</v>
      </c>
      <c r="B54" s="393" t="s">
        <v>81</v>
      </c>
      <c r="C54" s="394">
        <v>46</v>
      </c>
      <c r="D54" s="321">
        <v>0</v>
      </c>
      <c r="E54" s="321">
        <v>0</v>
      </c>
      <c r="F54" s="321">
        <v>12.25</v>
      </c>
      <c r="G54" s="321">
        <v>0</v>
      </c>
      <c r="H54" s="321">
        <v>0</v>
      </c>
      <c r="I54" s="321">
        <v>5.94</v>
      </c>
      <c r="J54" s="321">
        <v>0</v>
      </c>
      <c r="K54" s="321">
        <v>0</v>
      </c>
      <c r="L54" s="395">
        <f t="shared" si="2"/>
        <v>18.19</v>
      </c>
    </row>
    <row r="55" spans="1:12" ht="12.75">
      <c r="A55" s="392" t="s">
        <v>130</v>
      </c>
      <c r="B55" s="393" t="s">
        <v>131</v>
      </c>
      <c r="C55" s="394">
        <v>47</v>
      </c>
      <c r="D55" s="321">
        <v>0</v>
      </c>
      <c r="E55" s="321">
        <v>0</v>
      </c>
      <c r="F55" s="321">
        <v>0</v>
      </c>
      <c r="G55" s="321">
        <v>0</v>
      </c>
      <c r="H55" s="321">
        <v>0</v>
      </c>
      <c r="I55" s="321">
        <v>18.74</v>
      </c>
      <c r="J55" s="321">
        <v>0</v>
      </c>
      <c r="K55" s="321">
        <v>0</v>
      </c>
      <c r="L55" s="395">
        <f t="shared" si="2"/>
        <v>18.74</v>
      </c>
    </row>
    <row r="56" spans="1:12" ht="12.75">
      <c r="A56" s="392">
        <v>648</v>
      </c>
      <c r="B56" s="393" t="s">
        <v>132</v>
      </c>
      <c r="C56" s="394">
        <v>48</v>
      </c>
      <c r="D56" s="321">
        <v>0</v>
      </c>
      <c r="E56" s="321">
        <v>0</v>
      </c>
      <c r="F56" s="321">
        <v>0</v>
      </c>
      <c r="G56" s="321">
        <v>0</v>
      </c>
      <c r="H56" s="321">
        <v>0</v>
      </c>
      <c r="I56" s="321">
        <v>0</v>
      </c>
      <c r="J56" s="321">
        <v>0</v>
      </c>
      <c r="K56" s="321">
        <v>0</v>
      </c>
      <c r="L56" s="395">
        <f t="shared" si="2"/>
        <v>0</v>
      </c>
    </row>
    <row r="57" spans="1:12" ht="12.75">
      <c r="A57" s="392" t="s">
        <v>133</v>
      </c>
      <c r="B57" s="393" t="s">
        <v>134</v>
      </c>
      <c r="C57" s="394">
        <v>49</v>
      </c>
      <c r="D57" s="321">
        <v>33.36</v>
      </c>
      <c r="E57" s="321">
        <v>552.95</v>
      </c>
      <c r="F57" s="321">
        <v>1.7</v>
      </c>
      <c r="G57" s="321">
        <v>0</v>
      </c>
      <c r="H57" s="321">
        <v>0</v>
      </c>
      <c r="I57" s="321">
        <v>1041.9</v>
      </c>
      <c r="J57" s="321">
        <v>0</v>
      </c>
      <c r="K57" s="321">
        <v>0</v>
      </c>
      <c r="L57" s="395">
        <f t="shared" si="2"/>
        <v>1629.9100000000003</v>
      </c>
    </row>
    <row r="58" spans="1:12" ht="12.75">
      <c r="A58" s="392" t="s">
        <v>135</v>
      </c>
      <c r="B58" s="393" t="s">
        <v>136</v>
      </c>
      <c r="C58" s="394">
        <v>50</v>
      </c>
      <c r="D58" s="321">
        <v>0</v>
      </c>
      <c r="E58" s="321">
        <v>0</v>
      </c>
      <c r="F58" s="321">
        <v>0</v>
      </c>
      <c r="G58" s="321">
        <v>0</v>
      </c>
      <c r="H58" s="321">
        <v>0</v>
      </c>
      <c r="I58" s="321">
        <v>0</v>
      </c>
      <c r="J58" s="321">
        <v>0</v>
      </c>
      <c r="K58" s="321">
        <v>0</v>
      </c>
      <c r="L58" s="395">
        <f t="shared" si="2"/>
        <v>0</v>
      </c>
    </row>
    <row r="59" spans="1:12" ht="12.75">
      <c r="A59" s="392" t="s">
        <v>137</v>
      </c>
      <c r="B59" s="393" t="s">
        <v>138</v>
      </c>
      <c r="C59" s="394">
        <v>51</v>
      </c>
      <c r="D59" s="321">
        <v>0</v>
      </c>
      <c r="E59" s="321">
        <v>0</v>
      </c>
      <c r="F59" s="321">
        <v>0</v>
      </c>
      <c r="G59" s="321">
        <v>0</v>
      </c>
      <c r="H59" s="321">
        <v>0</v>
      </c>
      <c r="I59" s="321">
        <v>0</v>
      </c>
      <c r="J59" s="321">
        <v>0</v>
      </c>
      <c r="K59" s="321">
        <v>0</v>
      </c>
      <c r="L59" s="395">
        <f t="shared" si="2"/>
        <v>0</v>
      </c>
    </row>
    <row r="60" spans="1:12" ht="12.75">
      <c r="A60" s="392" t="s">
        <v>139</v>
      </c>
      <c r="B60" s="393" t="s">
        <v>140</v>
      </c>
      <c r="C60" s="394">
        <v>52</v>
      </c>
      <c r="D60" s="321">
        <v>0</v>
      </c>
      <c r="E60" s="321">
        <v>0</v>
      </c>
      <c r="F60" s="321">
        <v>0</v>
      </c>
      <c r="G60" s="321">
        <v>0</v>
      </c>
      <c r="H60" s="321">
        <v>0</v>
      </c>
      <c r="I60" s="321">
        <v>0</v>
      </c>
      <c r="J60" s="321">
        <v>0</v>
      </c>
      <c r="K60" s="321">
        <v>0</v>
      </c>
      <c r="L60" s="395">
        <f t="shared" si="2"/>
        <v>0</v>
      </c>
    </row>
    <row r="61" spans="1:12" ht="12.75">
      <c r="A61" s="392" t="s">
        <v>141</v>
      </c>
      <c r="B61" s="393" t="s">
        <v>142</v>
      </c>
      <c r="C61" s="394">
        <v>53</v>
      </c>
      <c r="D61" s="321">
        <v>0</v>
      </c>
      <c r="E61" s="321">
        <v>0</v>
      </c>
      <c r="F61" s="321">
        <v>0</v>
      </c>
      <c r="G61" s="321">
        <v>0</v>
      </c>
      <c r="H61" s="321">
        <v>0</v>
      </c>
      <c r="I61" s="321">
        <v>0</v>
      </c>
      <c r="J61" s="321">
        <v>0</v>
      </c>
      <c r="K61" s="321">
        <v>0</v>
      </c>
      <c r="L61" s="395">
        <f t="shared" si="2"/>
        <v>0</v>
      </c>
    </row>
    <row r="62" spans="1:12" ht="12.75">
      <c r="A62" s="392" t="s">
        <v>143</v>
      </c>
      <c r="B62" s="393" t="s">
        <v>144</v>
      </c>
      <c r="C62" s="394">
        <v>54</v>
      </c>
      <c r="D62" s="321">
        <v>0</v>
      </c>
      <c r="E62" s="321">
        <v>0</v>
      </c>
      <c r="F62" s="321">
        <v>0</v>
      </c>
      <c r="G62" s="321">
        <v>0</v>
      </c>
      <c r="H62" s="321">
        <v>0</v>
      </c>
      <c r="I62" s="321">
        <v>0</v>
      </c>
      <c r="J62" s="321">
        <v>0</v>
      </c>
      <c r="K62" s="321">
        <v>0</v>
      </c>
      <c r="L62" s="395">
        <f t="shared" si="2"/>
        <v>0</v>
      </c>
    </row>
    <row r="63" spans="1:12" ht="12.75">
      <c r="A63" s="392" t="s">
        <v>145</v>
      </c>
      <c r="B63" s="393" t="s">
        <v>146</v>
      </c>
      <c r="C63" s="394">
        <v>55</v>
      </c>
      <c r="D63" s="321">
        <v>0</v>
      </c>
      <c r="E63" s="321">
        <v>0</v>
      </c>
      <c r="F63" s="321">
        <v>0</v>
      </c>
      <c r="G63" s="321">
        <v>0</v>
      </c>
      <c r="H63" s="321">
        <v>0</v>
      </c>
      <c r="I63" s="321">
        <v>0</v>
      </c>
      <c r="J63" s="321">
        <v>0</v>
      </c>
      <c r="K63" s="321">
        <v>0</v>
      </c>
      <c r="L63" s="395">
        <f t="shared" si="2"/>
        <v>0</v>
      </c>
    </row>
    <row r="64" spans="1:12" ht="12.75">
      <c r="A64" s="392" t="s">
        <v>147</v>
      </c>
      <c r="B64" s="393" t="s">
        <v>148</v>
      </c>
      <c r="C64" s="394">
        <v>56</v>
      </c>
      <c r="D64" s="321">
        <v>0</v>
      </c>
      <c r="E64" s="321">
        <v>0</v>
      </c>
      <c r="F64" s="321">
        <v>0</v>
      </c>
      <c r="G64" s="321">
        <v>0</v>
      </c>
      <c r="H64" s="321">
        <v>0</v>
      </c>
      <c r="I64" s="321">
        <v>0</v>
      </c>
      <c r="J64" s="321">
        <v>0</v>
      </c>
      <c r="K64" s="321">
        <v>0</v>
      </c>
      <c r="L64" s="395">
        <f t="shared" si="2"/>
        <v>0</v>
      </c>
    </row>
    <row r="65" spans="1:12" ht="13.5" thickBot="1">
      <c r="A65" s="396" t="s">
        <v>149</v>
      </c>
      <c r="B65" s="397" t="s">
        <v>150</v>
      </c>
      <c r="C65" s="398">
        <v>57</v>
      </c>
      <c r="D65" s="322">
        <v>0</v>
      </c>
      <c r="E65" s="322">
        <v>0</v>
      </c>
      <c r="F65" s="322">
        <v>0</v>
      </c>
      <c r="G65" s="322">
        <v>0</v>
      </c>
      <c r="H65" s="322">
        <v>0</v>
      </c>
      <c r="I65" s="322">
        <v>0</v>
      </c>
      <c r="J65" s="322">
        <v>0</v>
      </c>
      <c r="K65" s="322">
        <v>0</v>
      </c>
      <c r="L65" s="395">
        <f t="shared" si="2"/>
        <v>0</v>
      </c>
    </row>
    <row r="66" spans="1:12" ht="13.5" thickBot="1">
      <c r="A66" s="399"/>
      <c r="B66" s="400" t="s">
        <v>151</v>
      </c>
      <c r="C66" s="401">
        <v>58</v>
      </c>
      <c r="D66" s="323">
        <f aca="true" t="shared" si="3" ref="D66:L66">SUM(D40:D65)</f>
        <v>893.16</v>
      </c>
      <c r="E66" s="323">
        <f t="shared" si="3"/>
        <v>3231.3</v>
      </c>
      <c r="F66" s="323">
        <f t="shared" si="3"/>
        <v>2627.97</v>
      </c>
      <c r="G66" s="323">
        <f t="shared" si="3"/>
        <v>1435.04</v>
      </c>
      <c r="H66" s="323">
        <f t="shared" si="3"/>
        <v>211.5</v>
      </c>
      <c r="I66" s="323">
        <f t="shared" si="3"/>
        <v>5716.469999999999</v>
      </c>
      <c r="J66" s="323">
        <f t="shared" si="3"/>
        <v>10</v>
      </c>
      <c r="K66" s="323">
        <f t="shared" si="3"/>
        <v>2388.02</v>
      </c>
      <c r="L66" s="402">
        <f t="shared" si="3"/>
        <v>16513.460000000003</v>
      </c>
    </row>
    <row r="67" spans="1:12" ht="13.5" thickBot="1">
      <c r="A67" s="403"/>
      <c r="B67" s="404" t="s">
        <v>152</v>
      </c>
      <c r="C67" s="405">
        <v>59</v>
      </c>
      <c r="D67" s="324">
        <f aca="true" t="shared" si="4" ref="D67:L67">D66-D39</f>
        <v>41.05000000000007</v>
      </c>
      <c r="E67" s="324">
        <f t="shared" si="4"/>
        <v>1370.96</v>
      </c>
      <c r="F67" s="324">
        <f t="shared" si="4"/>
        <v>66.65999999999985</v>
      </c>
      <c r="G67" s="324">
        <f t="shared" si="4"/>
        <v>148.53999999999996</v>
      </c>
      <c r="H67" s="324">
        <f t="shared" si="4"/>
        <v>47.53999999999999</v>
      </c>
      <c r="I67" s="324">
        <f t="shared" si="4"/>
        <v>41.05999999999949</v>
      </c>
      <c r="J67" s="324">
        <f t="shared" si="4"/>
        <v>10</v>
      </c>
      <c r="K67" s="324">
        <f t="shared" si="4"/>
        <v>120.26000000000022</v>
      </c>
      <c r="L67" s="406">
        <f t="shared" si="4"/>
        <v>1846.0700000000015</v>
      </c>
    </row>
    <row r="68" spans="1:12" ht="12.75">
      <c r="A68" s="388" t="s">
        <v>153</v>
      </c>
      <c r="B68" s="389" t="s">
        <v>154</v>
      </c>
      <c r="C68" s="390">
        <v>60</v>
      </c>
      <c r="D68" s="320">
        <v>0</v>
      </c>
      <c r="E68" s="320">
        <v>0</v>
      </c>
      <c r="F68" s="320">
        <v>0</v>
      </c>
      <c r="G68" s="320">
        <v>15.65</v>
      </c>
      <c r="H68" s="320">
        <v>0</v>
      </c>
      <c r="I68" s="320">
        <v>0</v>
      </c>
      <c r="J68" s="320">
        <v>1.4</v>
      </c>
      <c r="K68" s="320">
        <v>0</v>
      </c>
      <c r="L68" s="395">
        <f>SUM(D68:K68)</f>
        <v>17.05</v>
      </c>
    </row>
    <row r="69" spans="1:12" ht="12.75">
      <c r="A69" s="392" t="s">
        <v>155</v>
      </c>
      <c r="B69" s="393" t="s">
        <v>156</v>
      </c>
      <c r="C69" s="394">
        <v>61</v>
      </c>
      <c r="D69" s="321">
        <v>0</v>
      </c>
      <c r="E69" s="321">
        <v>0</v>
      </c>
      <c r="F69" s="321">
        <v>0</v>
      </c>
      <c r="G69" s="321">
        <v>0</v>
      </c>
      <c r="H69" s="321">
        <v>0</v>
      </c>
      <c r="I69" s="321">
        <v>0</v>
      </c>
      <c r="J69" s="321">
        <v>0</v>
      </c>
      <c r="K69" s="321">
        <v>0</v>
      </c>
      <c r="L69" s="395">
        <f>SUM(D69:K69)</f>
        <v>0</v>
      </c>
    </row>
    <row r="70" spans="1:12" ht="13.5" thickBot="1">
      <c r="A70" s="407"/>
      <c r="B70" s="408" t="s">
        <v>157</v>
      </c>
      <c r="C70" s="409">
        <v>62</v>
      </c>
      <c r="D70" s="325">
        <f aca="true" t="shared" si="5" ref="D70:L70">D67-D68-D69</f>
        <v>41.05000000000007</v>
      </c>
      <c r="E70" s="325">
        <f t="shared" si="5"/>
        <v>1370.96</v>
      </c>
      <c r="F70" s="325">
        <f t="shared" si="5"/>
        <v>66.65999999999985</v>
      </c>
      <c r="G70" s="325">
        <f t="shared" si="5"/>
        <v>132.88999999999996</v>
      </c>
      <c r="H70" s="325">
        <f t="shared" si="5"/>
        <v>47.53999999999999</v>
      </c>
      <c r="I70" s="325">
        <f t="shared" si="5"/>
        <v>41.05999999999949</v>
      </c>
      <c r="J70" s="325">
        <f t="shared" si="5"/>
        <v>8.6</v>
      </c>
      <c r="K70" s="325">
        <f t="shared" si="5"/>
        <v>120.26000000000022</v>
      </c>
      <c r="L70" s="410">
        <f t="shared" si="5"/>
        <v>1829.0200000000016</v>
      </c>
    </row>
  </sheetData>
  <printOptions/>
  <pageMargins left="0.5905511811023623" right="0.5905511811023623" top="0.7874015748031497" bottom="0.3937007874015748" header="0.5118110236220472" footer="0.31496062992125984"/>
  <pageSetup fitToHeight="1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T259"/>
  <sheetViews>
    <sheetView zoomScale="80" zoomScaleNormal="80" workbookViewId="0" topLeftCell="A65">
      <selection activeCell="E95" sqref="E95:I96"/>
    </sheetView>
  </sheetViews>
  <sheetFormatPr defaultColWidth="9.140625" defaultRowHeight="12.75"/>
  <cols>
    <col min="1" max="1" width="2.00390625" style="1" customWidth="1"/>
    <col min="2" max="2" width="18.57421875" style="1" customWidth="1"/>
    <col min="3" max="3" width="7.8515625" style="1" customWidth="1"/>
    <col min="4" max="4" width="13.140625" style="1" customWidth="1"/>
    <col min="5" max="5" width="12.28125" style="1" customWidth="1"/>
    <col min="6" max="6" width="11.421875" style="1" customWidth="1"/>
    <col min="7" max="7" width="11.00390625" style="1" customWidth="1"/>
    <col min="8" max="8" width="11.57421875" style="1" customWidth="1"/>
    <col min="9" max="9" width="11.8515625" style="1" customWidth="1"/>
    <col min="10" max="16384" width="9.140625" style="1" customWidth="1"/>
  </cols>
  <sheetData>
    <row r="1" spans="8:9" ht="15.75">
      <c r="H1" s="2" t="s">
        <v>180</v>
      </c>
      <c r="I1" s="39"/>
    </row>
    <row r="2" ht="15.75">
      <c r="B2" s="3" t="s">
        <v>32</v>
      </c>
    </row>
    <row r="3" ht="13.5" thickBot="1">
      <c r="H3" s="4" t="s">
        <v>1</v>
      </c>
    </row>
    <row r="4" spans="2:11" ht="43.5" customHeight="1" thickBot="1">
      <c r="B4" s="5" t="s">
        <v>3</v>
      </c>
      <c r="C4" s="361" t="s">
        <v>25</v>
      </c>
      <c r="D4" s="362" t="s">
        <v>352</v>
      </c>
      <c r="E4" s="6" t="s">
        <v>401</v>
      </c>
      <c r="F4" s="82" t="s">
        <v>336</v>
      </c>
      <c r="G4" s="5" t="s">
        <v>33</v>
      </c>
      <c r="H4" s="5" t="s">
        <v>353</v>
      </c>
      <c r="I4" s="361" t="s">
        <v>354</v>
      </c>
      <c r="J4" s="7"/>
      <c r="K4" s="7"/>
    </row>
    <row r="5" spans="2:9" ht="13.5" thickBot="1">
      <c r="B5" s="47"/>
      <c r="C5" s="83"/>
      <c r="D5" s="84"/>
      <c r="E5" s="11">
        <v>1</v>
      </c>
      <c r="F5" s="85">
        <v>2</v>
      </c>
      <c r="G5" s="10">
        <v>3</v>
      </c>
      <c r="H5" s="85">
        <v>4</v>
      </c>
      <c r="I5" s="10">
        <v>5</v>
      </c>
    </row>
    <row r="6" spans="2:11" ht="12.75">
      <c r="B6" s="274" t="s">
        <v>4</v>
      </c>
      <c r="C6" s="278">
        <v>911</v>
      </c>
      <c r="D6" s="86">
        <v>544</v>
      </c>
      <c r="E6" s="86">
        <v>544</v>
      </c>
      <c r="F6" s="13"/>
      <c r="G6" s="13"/>
      <c r="H6" s="13">
        <f>E6+F6-G6</f>
        <v>544</v>
      </c>
      <c r="I6" s="14">
        <f>H6-E6</f>
        <v>0</v>
      </c>
      <c r="K6" s="15"/>
    </row>
    <row r="7" spans="2:11" ht="12.75">
      <c r="B7" s="76" t="s">
        <v>5</v>
      </c>
      <c r="C7" s="279">
        <v>911</v>
      </c>
      <c r="D7" s="87">
        <v>9.687</v>
      </c>
      <c r="E7" s="87">
        <v>159.688</v>
      </c>
      <c r="F7" s="255">
        <v>627.872</v>
      </c>
      <c r="G7" s="258">
        <v>204</v>
      </c>
      <c r="H7" s="18">
        <f aca="true" t="shared" si="0" ref="H7:H20">E7+F7-G7</f>
        <v>583.56</v>
      </c>
      <c r="I7" s="19">
        <f aca="true" t="shared" si="1" ref="I7:I20">H7-E7</f>
        <v>423.87199999999996</v>
      </c>
      <c r="K7" s="15"/>
    </row>
    <row r="8" spans="2:254" s="58" customFormat="1" ht="12.75">
      <c r="B8" s="275" t="s">
        <v>6</v>
      </c>
      <c r="C8" s="280">
        <v>911</v>
      </c>
      <c r="D8" s="88">
        <v>57</v>
      </c>
      <c r="E8" s="88">
        <v>57</v>
      </c>
      <c r="F8" s="256">
        <v>203</v>
      </c>
      <c r="G8" s="55"/>
      <c r="H8" s="55">
        <f t="shared" si="0"/>
        <v>260</v>
      </c>
      <c r="I8" s="89">
        <f t="shared" si="1"/>
        <v>203</v>
      </c>
      <c r="J8" s="1"/>
      <c r="K8" s="1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2:254" s="58" customFormat="1" ht="12.75">
      <c r="B9" s="275" t="s">
        <v>7</v>
      </c>
      <c r="C9" s="280">
        <v>911</v>
      </c>
      <c r="D9" s="88">
        <v>1997.294</v>
      </c>
      <c r="E9" s="88">
        <v>1014.552</v>
      </c>
      <c r="F9" s="256">
        <v>1000</v>
      </c>
      <c r="G9" s="55"/>
      <c r="H9" s="55">
        <f t="shared" si="0"/>
        <v>2014.5520000000001</v>
      </c>
      <c r="I9" s="89">
        <f t="shared" si="1"/>
        <v>1000.0000000000001</v>
      </c>
      <c r="J9" s="1"/>
      <c r="K9" s="1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2:254" s="58" customFormat="1" ht="12.75">
      <c r="B10" s="275" t="s">
        <v>8</v>
      </c>
      <c r="C10" s="280">
        <v>911</v>
      </c>
      <c r="D10" s="88">
        <v>208.769</v>
      </c>
      <c r="E10" s="88">
        <v>264.215</v>
      </c>
      <c r="F10" s="256">
        <v>66</v>
      </c>
      <c r="G10" s="55">
        <v>327.45</v>
      </c>
      <c r="H10" s="55">
        <f t="shared" si="0"/>
        <v>2.7649999999999864</v>
      </c>
      <c r="I10" s="89">
        <f t="shared" si="1"/>
        <v>-261.45</v>
      </c>
      <c r="J10" s="1"/>
      <c r="K10" s="1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2:254" s="58" customFormat="1" ht="12.75">
      <c r="B11" s="275" t="s">
        <v>9</v>
      </c>
      <c r="C11" s="280">
        <v>911</v>
      </c>
      <c r="D11" s="88">
        <v>1976.227</v>
      </c>
      <c r="E11" s="88">
        <v>1418.706</v>
      </c>
      <c r="F11" s="256">
        <v>45</v>
      </c>
      <c r="G11" s="55">
        <v>542.967</v>
      </c>
      <c r="H11" s="55">
        <f t="shared" si="0"/>
        <v>920.7389999999999</v>
      </c>
      <c r="I11" s="89">
        <f t="shared" si="1"/>
        <v>-497.967</v>
      </c>
      <c r="J11" s="1"/>
      <c r="K11" s="1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2:254" s="58" customFormat="1" ht="12.75">
      <c r="B12" s="275" t="s">
        <v>10</v>
      </c>
      <c r="C12" s="280">
        <v>911</v>
      </c>
      <c r="D12" s="88"/>
      <c r="E12" s="88"/>
      <c r="F12" s="256"/>
      <c r="G12" s="55"/>
      <c r="H12" s="90">
        <f t="shared" si="0"/>
        <v>0</v>
      </c>
      <c r="I12" s="91">
        <f t="shared" si="1"/>
        <v>0</v>
      </c>
      <c r="J12" s="1"/>
      <c r="K12" s="1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2:254" s="58" customFormat="1" ht="12.75">
      <c r="B13" s="275" t="s">
        <v>11</v>
      </c>
      <c r="C13" s="280">
        <v>911</v>
      </c>
      <c r="D13" s="88">
        <v>456.776</v>
      </c>
      <c r="E13" s="88">
        <v>160.606</v>
      </c>
      <c r="F13" s="256">
        <v>95.853</v>
      </c>
      <c r="G13" s="55">
        <v>141.422</v>
      </c>
      <c r="H13" s="55">
        <f t="shared" si="0"/>
        <v>115.037</v>
      </c>
      <c r="I13" s="89">
        <f t="shared" si="1"/>
        <v>-45.56899999999999</v>
      </c>
      <c r="J13" s="1"/>
      <c r="K13" s="1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2:254" s="58" customFormat="1" ht="12.75">
      <c r="B14" s="16" t="s">
        <v>343</v>
      </c>
      <c r="C14" s="280">
        <v>911</v>
      </c>
      <c r="D14" s="88">
        <v>371.696</v>
      </c>
      <c r="E14" s="88">
        <v>220.471</v>
      </c>
      <c r="F14" s="256">
        <v>635.155</v>
      </c>
      <c r="G14" s="55">
        <v>154.12</v>
      </c>
      <c r="H14" s="55">
        <f t="shared" si="0"/>
        <v>701.506</v>
      </c>
      <c r="I14" s="89">
        <f t="shared" si="1"/>
        <v>481.03499999999997</v>
      </c>
      <c r="J14" s="1"/>
      <c r="K14" s="1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2:254" s="58" customFormat="1" ht="12.75">
      <c r="B15" s="276" t="s">
        <v>12</v>
      </c>
      <c r="C15" s="280">
        <v>911</v>
      </c>
      <c r="D15" s="88"/>
      <c r="E15" s="88"/>
      <c r="F15" s="256"/>
      <c r="G15" s="55"/>
      <c r="H15" s="55">
        <f t="shared" si="0"/>
        <v>0</v>
      </c>
      <c r="I15" s="89">
        <f t="shared" si="1"/>
        <v>0</v>
      </c>
      <c r="J15" s="1"/>
      <c r="K15" s="1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2:254" s="58" customFormat="1" ht="12.75">
      <c r="B16" s="276" t="s">
        <v>13</v>
      </c>
      <c r="C16" s="280">
        <v>911</v>
      </c>
      <c r="D16" s="88">
        <v>1086.296</v>
      </c>
      <c r="E16" s="88">
        <v>52.681</v>
      </c>
      <c r="F16" s="256">
        <v>1000</v>
      </c>
      <c r="G16" s="55">
        <v>106.943</v>
      </c>
      <c r="H16" s="55">
        <f t="shared" si="0"/>
        <v>945.738</v>
      </c>
      <c r="I16" s="89">
        <f t="shared" si="1"/>
        <v>893.057</v>
      </c>
      <c r="J16" s="1"/>
      <c r="K16" s="1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2:254" s="58" customFormat="1" ht="12.75">
      <c r="B17" s="276" t="s">
        <v>344</v>
      </c>
      <c r="C17" s="280">
        <v>911</v>
      </c>
      <c r="D17" s="88"/>
      <c r="E17" s="88"/>
      <c r="F17" s="256"/>
      <c r="G17" s="55"/>
      <c r="H17" s="55">
        <f>E17+F17-G17</f>
        <v>0</v>
      </c>
      <c r="I17" s="89">
        <f>H17-E17</f>
        <v>0</v>
      </c>
      <c r="J17" s="1"/>
      <c r="K17" s="1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2:254" s="58" customFormat="1" ht="12.75">
      <c r="B18" s="275" t="s">
        <v>14</v>
      </c>
      <c r="C18" s="280">
        <v>911</v>
      </c>
      <c r="D18" s="88">
        <v>267.378</v>
      </c>
      <c r="E18" s="88">
        <v>267.378</v>
      </c>
      <c r="F18" s="256"/>
      <c r="G18" s="55">
        <v>58</v>
      </c>
      <c r="H18" s="55">
        <f t="shared" si="0"/>
        <v>209.378</v>
      </c>
      <c r="I18" s="89">
        <f t="shared" si="1"/>
        <v>-58</v>
      </c>
      <c r="J18" s="1"/>
      <c r="K18" s="1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2:254" s="58" customFormat="1" ht="12.75">
      <c r="B19" s="276" t="s">
        <v>15</v>
      </c>
      <c r="C19" s="280">
        <v>911</v>
      </c>
      <c r="D19" s="92"/>
      <c r="E19" s="92"/>
      <c r="F19" s="257"/>
      <c r="G19" s="92"/>
      <c r="H19" s="56">
        <f t="shared" si="0"/>
        <v>0</v>
      </c>
      <c r="I19" s="89">
        <f t="shared" si="1"/>
        <v>0</v>
      </c>
      <c r="J19" s="1"/>
      <c r="K19" s="1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2:254" s="58" customFormat="1" ht="13.5" thickBot="1">
      <c r="B20" s="275" t="s">
        <v>16</v>
      </c>
      <c r="C20" s="280">
        <v>911</v>
      </c>
      <c r="D20" s="88">
        <v>90.352</v>
      </c>
      <c r="E20" s="88">
        <v>90.352</v>
      </c>
      <c r="F20" s="56"/>
      <c r="G20" s="56"/>
      <c r="H20" s="56">
        <f t="shared" si="0"/>
        <v>90.352</v>
      </c>
      <c r="I20" s="89">
        <f t="shared" si="1"/>
        <v>0</v>
      </c>
      <c r="J20" s="1"/>
      <c r="K20" s="1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2:254" s="58" customFormat="1" ht="16.5" customHeight="1" thickBot="1">
      <c r="B21" s="277" t="s">
        <v>23</v>
      </c>
      <c r="C21" s="93">
        <v>911</v>
      </c>
      <c r="D21" s="94">
        <f aca="true" t="shared" si="2" ref="D21:I21">SUM(D6:D20)</f>
        <v>7065.474999999999</v>
      </c>
      <c r="E21" s="94">
        <f t="shared" si="2"/>
        <v>4249.648999999999</v>
      </c>
      <c r="F21" s="95">
        <f t="shared" si="2"/>
        <v>3672.88</v>
      </c>
      <c r="G21" s="95">
        <f t="shared" si="2"/>
        <v>1534.9019999999998</v>
      </c>
      <c r="H21" s="95">
        <f t="shared" si="2"/>
        <v>6387.627</v>
      </c>
      <c r="I21" s="95">
        <f t="shared" si="2"/>
        <v>2137.978</v>
      </c>
      <c r="J21" s="1"/>
      <c r="K21" s="1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ht="13.5" thickBot="1">
      <c r="K22" s="15"/>
    </row>
    <row r="23" spans="2:11" ht="43.5" customHeight="1" thickBot="1">
      <c r="B23" s="5" t="s">
        <v>29</v>
      </c>
      <c r="C23" s="361" t="s">
        <v>25</v>
      </c>
      <c r="D23" s="362" t="s">
        <v>352</v>
      </c>
      <c r="E23" s="6" t="s">
        <v>401</v>
      </c>
      <c r="F23" s="82" t="s">
        <v>336</v>
      </c>
      <c r="G23" s="5" t="s">
        <v>33</v>
      </c>
      <c r="H23" s="5" t="s">
        <v>353</v>
      </c>
      <c r="I23" s="361" t="s">
        <v>354</v>
      </c>
      <c r="K23" s="15"/>
    </row>
    <row r="24" spans="2:9" ht="13.5" thickBot="1">
      <c r="B24" s="47"/>
      <c r="C24" s="83"/>
      <c r="D24" s="84"/>
      <c r="E24" s="11">
        <v>1</v>
      </c>
      <c r="F24" s="85">
        <v>2</v>
      </c>
      <c r="G24" s="10">
        <v>3</v>
      </c>
      <c r="H24" s="85">
        <v>4</v>
      </c>
      <c r="I24" s="10">
        <v>5</v>
      </c>
    </row>
    <row r="25" spans="2:11" ht="12.75">
      <c r="B25" s="274" t="s">
        <v>4</v>
      </c>
      <c r="C25" s="278">
        <v>912</v>
      </c>
      <c r="D25" s="86">
        <v>164.479</v>
      </c>
      <c r="E25" s="13">
        <v>219.272</v>
      </c>
      <c r="F25" s="13">
        <v>142.134</v>
      </c>
      <c r="G25" s="13">
        <v>230.717</v>
      </c>
      <c r="H25" s="13">
        <f aca="true" t="shared" si="3" ref="H25:H38">E25+F25-G25</f>
        <v>130.68899999999994</v>
      </c>
      <c r="I25" s="14">
        <f aca="true" t="shared" si="4" ref="I25:I39">H25-E25</f>
        <v>-88.58300000000006</v>
      </c>
      <c r="K25" s="15"/>
    </row>
    <row r="26" spans="2:11" ht="12.75">
      <c r="B26" s="76" t="s">
        <v>5</v>
      </c>
      <c r="C26" s="279">
        <v>912</v>
      </c>
      <c r="D26" s="87">
        <v>494.194</v>
      </c>
      <c r="E26" s="18">
        <v>641.987</v>
      </c>
      <c r="F26" s="18">
        <v>826.745</v>
      </c>
      <c r="G26" s="18">
        <v>670.274</v>
      </c>
      <c r="H26" s="18">
        <f t="shared" si="3"/>
        <v>798.458</v>
      </c>
      <c r="I26" s="19">
        <f t="shared" si="4"/>
        <v>156.471</v>
      </c>
      <c r="K26" s="15"/>
    </row>
    <row r="27" spans="2:254" s="58" customFormat="1" ht="12.75">
      <c r="B27" s="275" t="s">
        <v>6</v>
      </c>
      <c r="C27" s="280">
        <v>912</v>
      </c>
      <c r="D27" s="88">
        <v>68.998</v>
      </c>
      <c r="E27" s="55">
        <v>87</v>
      </c>
      <c r="F27" s="55">
        <v>44</v>
      </c>
      <c r="G27" s="55"/>
      <c r="H27" s="55">
        <f t="shared" si="3"/>
        <v>131</v>
      </c>
      <c r="I27" s="89">
        <f t="shared" si="4"/>
        <v>44</v>
      </c>
      <c r="J27" s="1"/>
      <c r="K27" s="1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2:254" s="58" customFormat="1" ht="12.75">
      <c r="B28" s="275" t="s">
        <v>7</v>
      </c>
      <c r="C28" s="280">
        <v>912</v>
      </c>
      <c r="D28" s="88">
        <v>605.866</v>
      </c>
      <c r="E28" s="55">
        <v>562.326</v>
      </c>
      <c r="F28" s="55">
        <v>1017.903</v>
      </c>
      <c r="G28" s="55">
        <v>915.625</v>
      </c>
      <c r="H28" s="55">
        <f t="shared" si="3"/>
        <v>664.604</v>
      </c>
      <c r="I28" s="89">
        <f t="shared" si="4"/>
        <v>102.27800000000002</v>
      </c>
      <c r="J28" s="1"/>
      <c r="K28" s="1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2:254" s="58" customFormat="1" ht="12.75">
      <c r="B29" s="275" t="s">
        <v>8</v>
      </c>
      <c r="C29" s="280">
        <v>912</v>
      </c>
      <c r="D29" s="88">
        <v>864.196</v>
      </c>
      <c r="E29" s="55">
        <v>713.51</v>
      </c>
      <c r="F29" s="55">
        <v>942.386</v>
      </c>
      <c r="G29" s="55">
        <v>897.836</v>
      </c>
      <c r="H29" s="55">
        <f t="shared" si="3"/>
        <v>758.06</v>
      </c>
      <c r="I29" s="89">
        <f t="shared" si="4"/>
        <v>44.549999999999955</v>
      </c>
      <c r="J29" s="1"/>
      <c r="K29" s="1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2:254" s="58" customFormat="1" ht="12.75">
      <c r="B30" s="275" t="s">
        <v>9</v>
      </c>
      <c r="C30" s="280">
        <v>912</v>
      </c>
      <c r="D30" s="88">
        <v>651.884</v>
      </c>
      <c r="E30" s="55">
        <v>426.758</v>
      </c>
      <c r="F30" s="55">
        <v>513.914</v>
      </c>
      <c r="G30" s="55">
        <v>767.842</v>
      </c>
      <c r="H30" s="55">
        <f t="shared" si="3"/>
        <v>172.83000000000004</v>
      </c>
      <c r="I30" s="89">
        <f t="shared" si="4"/>
        <v>-253.92799999999994</v>
      </c>
      <c r="J30" s="1"/>
      <c r="K30" s="1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2:254" s="58" customFormat="1" ht="12.75">
      <c r="B31" s="275" t="s">
        <v>10</v>
      </c>
      <c r="C31" s="280">
        <v>912</v>
      </c>
      <c r="D31" s="88">
        <v>21.145</v>
      </c>
      <c r="E31" s="55">
        <v>42.687</v>
      </c>
      <c r="F31" s="55">
        <v>91.08</v>
      </c>
      <c r="G31" s="55">
        <v>85.15</v>
      </c>
      <c r="H31" s="55">
        <f t="shared" si="3"/>
        <v>48.61699999999999</v>
      </c>
      <c r="I31" s="89">
        <f t="shared" si="4"/>
        <v>5.929999999999993</v>
      </c>
      <c r="J31" s="1"/>
      <c r="K31" s="1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2:254" s="58" customFormat="1" ht="12.75">
      <c r="B32" s="275" t="s">
        <v>11</v>
      </c>
      <c r="C32" s="280">
        <v>912</v>
      </c>
      <c r="D32" s="88">
        <v>224.641</v>
      </c>
      <c r="E32" s="55">
        <v>326.358</v>
      </c>
      <c r="F32" s="55">
        <v>629.542</v>
      </c>
      <c r="G32" s="55">
        <v>624.974</v>
      </c>
      <c r="H32" s="55">
        <f t="shared" si="3"/>
        <v>330.92600000000004</v>
      </c>
      <c r="I32" s="89">
        <f t="shared" si="4"/>
        <v>4.5680000000000405</v>
      </c>
      <c r="J32" s="1"/>
      <c r="K32" s="1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2:254" s="58" customFormat="1" ht="12.75">
      <c r="B33" s="16" t="s">
        <v>343</v>
      </c>
      <c r="C33" s="280">
        <v>912</v>
      </c>
      <c r="D33" s="88">
        <v>99.246</v>
      </c>
      <c r="E33" s="55">
        <v>111.492</v>
      </c>
      <c r="F33" s="55">
        <v>819.945</v>
      </c>
      <c r="G33" s="55">
        <v>539.609</v>
      </c>
      <c r="H33" s="55">
        <f t="shared" si="3"/>
        <v>391.828</v>
      </c>
      <c r="I33" s="89">
        <f t="shared" si="4"/>
        <v>280.33599999999996</v>
      </c>
      <c r="J33" s="1"/>
      <c r="K33" s="1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2:254" s="58" customFormat="1" ht="12.75">
      <c r="B34" s="276" t="s">
        <v>12</v>
      </c>
      <c r="C34" s="280">
        <v>912</v>
      </c>
      <c r="D34" s="88"/>
      <c r="E34" s="55"/>
      <c r="F34" s="55"/>
      <c r="G34" s="55"/>
      <c r="H34" s="55">
        <f t="shared" si="3"/>
        <v>0</v>
      </c>
      <c r="I34" s="89">
        <f t="shared" si="4"/>
        <v>0</v>
      </c>
      <c r="J34" s="1"/>
      <c r="K34" s="1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2:254" s="58" customFormat="1" ht="12.75">
      <c r="B35" s="276" t="s">
        <v>13</v>
      </c>
      <c r="C35" s="280">
        <v>912</v>
      </c>
      <c r="D35" s="88">
        <v>281.553</v>
      </c>
      <c r="E35" s="55">
        <v>45.63</v>
      </c>
      <c r="F35" s="55">
        <v>612.145</v>
      </c>
      <c r="G35" s="55">
        <v>498.764</v>
      </c>
      <c r="H35" s="55">
        <f t="shared" si="3"/>
        <v>159.01099999999997</v>
      </c>
      <c r="I35" s="89">
        <f t="shared" si="4"/>
        <v>113.38099999999997</v>
      </c>
      <c r="J35" s="1"/>
      <c r="K35" s="1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2:254" s="58" customFormat="1" ht="12.75">
      <c r="B36" s="276" t="s">
        <v>344</v>
      </c>
      <c r="C36" s="280">
        <v>912</v>
      </c>
      <c r="D36" s="88">
        <v>165.811</v>
      </c>
      <c r="E36" s="55">
        <v>165.811</v>
      </c>
      <c r="F36" s="55">
        <v>695.462</v>
      </c>
      <c r="G36" s="55">
        <v>518.648</v>
      </c>
      <c r="H36" s="55">
        <f>E36+F36-G36</f>
        <v>342.625</v>
      </c>
      <c r="I36" s="89">
        <f>H36-E36</f>
        <v>176.814</v>
      </c>
      <c r="J36" s="1"/>
      <c r="K36" s="1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2:254" s="58" customFormat="1" ht="12.75">
      <c r="B37" s="275" t="s">
        <v>14</v>
      </c>
      <c r="C37" s="280">
        <v>912</v>
      </c>
      <c r="D37" s="88">
        <v>30.072</v>
      </c>
      <c r="E37" s="55">
        <v>37.421</v>
      </c>
      <c r="F37" s="55">
        <v>32.5</v>
      </c>
      <c r="G37" s="55">
        <v>23.209</v>
      </c>
      <c r="H37" s="55">
        <f t="shared" si="3"/>
        <v>46.71199999999999</v>
      </c>
      <c r="I37" s="89">
        <f t="shared" si="4"/>
        <v>9.29099999999999</v>
      </c>
      <c r="J37" s="1"/>
      <c r="K37" s="1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2:254" s="58" customFormat="1" ht="12.75">
      <c r="B38" s="276" t="s">
        <v>15</v>
      </c>
      <c r="C38" s="280">
        <v>912</v>
      </c>
      <c r="D38" s="88">
        <v>29.398</v>
      </c>
      <c r="E38" s="55">
        <v>22.683</v>
      </c>
      <c r="F38" s="55">
        <v>45.442</v>
      </c>
      <c r="G38" s="55">
        <v>48.14</v>
      </c>
      <c r="H38" s="56">
        <f t="shared" si="3"/>
        <v>19.985</v>
      </c>
      <c r="I38" s="89">
        <f t="shared" si="4"/>
        <v>-2.6980000000000004</v>
      </c>
      <c r="J38" s="1"/>
      <c r="K38" s="1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2:254" s="58" customFormat="1" ht="13.5" thickBot="1">
      <c r="B39" s="275" t="s">
        <v>16</v>
      </c>
      <c r="C39" s="280">
        <v>912</v>
      </c>
      <c r="D39" s="88">
        <v>67.837</v>
      </c>
      <c r="E39" s="55">
        <v>66.255</v>
      </c>
      <c r="F39" s="55">
        <v>46.991</v>
      </c>
      <c r="G39" s="55">
        <v>50.685</v>
      </c>
      <c r="H39" s="56">
        <f>E39+F39-G39</f>
        <v>62.56099999999999</v>
      </c>
      <c r="I39" s="89">
        <f t="shared" si="4"/>
        <v>-3.6940000000000026</v>
      </c>
      <c r="J39" s="1"/>
      <c r="K39" s="1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2:254" s="58" customFormat="1" ht="13.5" thickBot="1">
      <c r="B40" s="277" t="s">
        <v>23</v>
      </c>
      <c r="C40" s="93">
        <v>912</v>
      </c>
      <c r="D40" s="94">
        <f aca="true" t="shared" si="5" ref="D40:I40">SUM(D25:D39)</f>
        <v>3769.3200000000006</v>
      </c>
      <c r="E40" s="95">
        <f t="shared" si="5"/>
        <v>3469.1900000000005</v>
      </c>
      <c r="F40" s="95">
        <f t="shared" si="5"/>
        <v>6460.188999999999</v>
      </c>
      <c r="G40" s="95">
        <f t="shared" si="5"/>
        <v>5871.473000000002</v>
      </c>
      <c r="H40" s="95">
        <f t="shared" si="5"/>
        <v>4057.906</v>
      </c>
      <c r="I40" s="95">
        <f t="shared" si="5"/>
        <v>588.7159999999999</v>
      </c>
      <c r="J40" s="1"/>
      <c r="K40" s="1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ht="13.5" thickBot="1">
      <c r="K41" s="15"/>
    </row>
    <row r="42" spans="2:11" ht="43.5" customHeight="1" thickBot="1">
      <c r="B42" s="5" t="s">
        <v>18</v>
      </c>
      <c r="C42" s="361" t="s">
        <v>25</v>
      </c>
      <c r="D42" s="362" t="s">
        <v>352</v>
      </c>
      <c r="E42" s="6" t="s">
        <v>401</v>
      </c>
      <c r="F42" s="82" t="s">
        <v>336</v>
      </c>
      <c r="G42" s="5" t="s">
        <v>33</v>
      </c>
      <c r="H42" s="5" t="s">
        <v>353</v>
      </c>
      <c r="I42" s="361" t="s">
        <v>354</v>
      </c>
      <c r="K42" s="15"/>
    </row>
    <row r="43" spans="2:9" ht="13.5" thickBot="1">
      <c r="B43" s="47"/>
      <c r="C43" s="83"/>
      <c r="D43" s="84"/>
      <c r="E43" s="11">
        <v>1</v>
      </c>
      <c r="F43" s="85">
        <v>2</v>
      </c>
      <c r="G43" s="10">
        <v>3</v>
      </c>
      <c r="H43" s="85">
        <v>4</v>
      </c>
      <c r="I43" s="10">
        <v>5</v>
      </c>
    </row>
    <row r="44" spans="2:11" ht="12.75">
      <c r="B44" s="274" t="s">
        <v>4</v>
      </c>
      <c r="C44" s="278">
        <v>914</v>
      </c>
      <c r="D44" s="13">
        <v>1755.859</v>
      </c>
      <c r="E44" s="13">
        <v>2127.089</v>
      </c>
      <c r="F44" s="13">
        <v>46572.668</v>
      </c>
      <c r="G44" s="13">
        <v>215.375</v>
      </c>
      <c r="H44" s="13">
        <f aca="true" t="shared" si="6" ref="H44:H58">E44+F44-G44</f>
        <v>48484.382</v>
      </c>
      <c r="I44" s="14">
        <f aca="true" t="shared" si="7" ref="I44:I58">H44-E44</f>
        <v>46357.293</v>
      </c>
      <c r="K44" s="15"/>
    </row>
    <row r="45" spans="2:11" ht="12.75">
      <c r="B45" s="76" t="s">
        <v>5</v>
      </c>
      <c r="C45" s="279">
        <v>914</v>
      </c>
      <c r="D45" s="87">
        <v>404.705</v>
      </c>
      <c r="E45" s="18">
        <v>1114.94</v>
      </c>
      <c r="F45" s="18">
        <v>46014.513</v>
      </c>
      <c r="G45" s="18">
        <v>2082.312</v>
      </c>
      <c r="H45" s="18">
        <f t="shared" si="6"/>
        <v>45047.141</v>
      </c>
      <c r="I45" s="19">
        <f t="shared" si="7"/>
        <v>43932.201</v>
      </c>
      <c r="K45" s="15"/>
    </row>
    <row r="46" spans="2:254" s="58" customFormat="1" ht="12.75">
      <c r="B46" s="275" t="s">
        <v>6</v>
      </c>
      <c r="C46" s="280">
        <v>914</v>
      </c>
      <c r="D46" s="88">
        <v>19</v>
      </c>
      <c r="E46" s="55">
        <v>32</v>
      </c>
      <c r="F46" s="55">
        <v>1151</v>
      </c>
      <c r="G46" s="55">
        <v>620</v>
      </c>
      <c r="H46" s="55">
        <f t="shared" si="6"/>
        <v>563</v>
      </c>
      <c r="I46" s="89">
        <f t="shared" si="7"/>
        <v>531</v>
      </c>
      <c r="J46" s="1"/>
      <c r="K46" s="1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2:254" s="58" customFormat="1" ht="12.75">
      <c r="B47" s="275" t="s">
        <v>7</v>
      </c>
      <c r="C47" s="280">
        <v>914</v>
      </c>
      <c r="D47" s="88">
        <v>8507.921</v>
      </c>
      <c r="E47" s="55">
        <v>7896.41</v>
      </c>
      <c r="F47" s="55">
        <v>18951.176</v>
      </c>
      <c r="G47" s="55">
        <v>1454.923</v>
      </c>
      <c r="H47" s="55">
        <f t="shared" si="6"/>
        <v>25392.663</v>
      </c>
      <c r="I47" s="89">
        <f t="shared" si="7"/>
        <v>17496.253</v>
      </c>
      <c r="J47" s="1"/>
      <c r="K47" s="1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2:254" s="58" customFormat="1" ht="12.75">
      <c r="B48" s="275" t="s">
        <v>8</v>
      </c>
      <c r="C48" s="280">
        <v>914</v>
      </c>
      <c r="D48" s="88">
        <v>925.648</v>
      </c>
      <c r="E48" s="55">
        <v>3527.139</v>
      </c>
      <c r="F48" s="55">
        <v>102895.274</v>
      </c>
      <c r="G48" s="55">
        <v>5860.41</v>
      </c>
      <c r="H48" s="55">
        <f t="shared" si="6"/>
        <v>100562.003</v>
      </c>
      <c r="I48" s="89">
        <f t="shared" si="7"/>
        <v>97034.864</v>
      </c>
      <c r="J48" s="1"/>
      <c r="K48" s="1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2:254" s="58" customFormat="1" ht="12.75">
      <c r="B49" s="275" t="s">
        <v>9</v>
      </c>
      <c r="C49" s="280">
        <v>914</v>
      </c>
      <c r="D49" s="88">
        <v>2991.906</v>
      </c>
      <c r="E49" s="55">
        <v>2250.244</v>
      </c>
      <c r="F49" s="55">
        <v>28.452</v>
      </c>
      <c r="G49" s="55"/>
      <c r="H49" s="55">
        <f t="shared" si="6"/>
        <v>2278.6960000000004</v>
      </c>
      <c r="I49" s="89">
        <f t="shared" si="7"/>
        <v>28.452000000000226</v>
      </c>
      <c r="J49" s="1"/>
      <c r="K49" s="1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2:254" s="58" customFormat="1" ht="12.75">
      <c r="B50" s="275" t="s">
        <v>10</v>
      </c>
      <c r="C50" s="280">
        <v>914</v>
      </c>
      <c r="D50" s="88">
        <v>113.02</v>
      </c>
      <c r="E50" s="58">
        <v>149.627</v>
      </c>
      <c r="F50" s="55">
        <v>22.904</v>
      </c>
      <c r="G50" s="55"/>
      <c r="H50" s="55">
        <f t="shared" si="6"/>
        <v>172.531</v>
      </c>
      <c r="I50" s="89">
        <f t="shared" si="7"/>
        <v>22.903999999999996</v>
      </c>
      <c r="J50" s="1"/>
      <c r="K50" s="1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2:254" s="58" customFormat="1" ht="12.75">
      <c r="B51" s="275" t="s">
        <v>11</v>
      </c>
      <c r="C51" s="280">
        <v>914</v>
      </c>
      <c r="D51" s="88">
        <v>134064.522</v>
      </c>
      <c r="E51" s="55">
        <v>94633.128</v>
      </c>
      <c r="F51" s="55">
        <v>155916.754</v>
      </c>
      <c r="G51" s="55">
        <v>64986.518</v>
      </c>
      <c r="H51" s="55">
        <f t="shared" si="6"/>
        <v>185563.364</v>
      </c>
      <c r="I51" s="89">
        <f t="shared" si="7"/>
        <v>90930.236</v>
      </c>
      <c r="J51" s="1"/>
      <c r="K51" s="1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2:254" s="58" customFormat="1" ht="12.75">
      <c r="B52" s="16" t="s">
        <v>343</v>
      </c>
      <c r="C52" s="280">
        <v>914</v>
      </c>
      <c r="D52" s="88">
        <v>4190.504</v>
      </c>
      <c r="E52" s="55">
        <v>4141.885</v>
      </c>
      <c r="F52" s="55">
        <v>7788.583</v>
      </c>
      <c r="G52" s="55">
        <v>4030.623</v>
      </c>
      <c r="H52" s="55">
        <f t="shared" si="6"/>
        <v>7899.845000000001</v>
      </c>
      <c r="I52" s="89">
        <f t="shared" si="7"/>
        <v>3757.960000000001</v>
      </c>
      <c r="J52" s="1"/>
      <c r="K52" s="1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2:254" s="58" customFormat="1" ht="12.75">
      <c r="B53" s="276" t="s">
        <v>12</v>
      </c>
      <c r="C53" s="280">
        <v>914</v>
      </c>
      <c r="D53" s="92">
        <v>202.087</v>
      </c>
      <c r="E53" s="56">
        <v>333.465</v>
      </c>
      <c r="F53" s="96">
        <v>283.438</v>
      </c>
      <c r="G53" s="96">
        <v>264.212</v>
      </c>
      <c r="H53" s="55">
        <f t="shared" si="6"/>
        <v>352.69100000000003</v>
      </c>
      <c r="I53" s="89">
        <f t="shared" si="7"/>
        <v>19.226000000000056</v>
      </c>
      <c r="J53" s="1"/>
      <c r="K53" s="1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2:254" s="58" customFormat="1" ht="12.75">
      <c r="B54" s="276" t="s">
        <v>13</v>
      </c>
      <c r="C54" s="280">
        <v>914</v>
      </c>
      <c r="D54" s="88">
        <v>11913.046</v>
      </c>
      <c r="E54" s="55">
        <v>18495.382</v>
      </c>
      <c r="F54" s="55">
        <v>5796.261</v>
      </c>
      <c r="G54" s="55">
        <v>19027.028</v>
      </c>
      <c r="H54" s="55">
        <f t="shared" si="6"/>
        <v>5264.615000000005</v>
      </c>
      <c r="I54" s="89">
        <f t="shared" si="7"/>
        <v>-13230.766999999996</v>
      </c>
      <c r="J54" s="1"/>
      <c r="K54" s="15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2:254" s="58" customFormat="1" ht="12.75">
      <c r="B55" s="276" t="s">
        <v>344</v>
      </c>
      <c r="C55" s="280">
        <v>914</v>
      </c>
      <c r="D55" s="88"/>
      <c r="E55" s="55"/>
      <c r="F55" s="55">
        <v>73656.421</v>
      </c>
      <c r="G55" s="55"/>
      <c r="H55" s="55">
        <f>E55+F55-G55</f>
        <v>73656.421</v>
      </c>
      <c r="I55" s="89">
        <f>H55-E55</f>
        <v>73656.421</v>
      </c>
      <c r="J55" s="1"/>
      <c r="K55" s="1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2:254" s="58" customFormat="1" ht="12.75">
      <c r="B56" s="275" t="s">
        <v>14</v>
      </c>
      <c r="C56" s="280">
        <v>914</v>
      </c>
      <c r="D56" s="88">
        <v>810.516</v>
      </c>
      <c r="E56" s="55">
        <v>821.699</v>
      </c>
      <c r="F56" s="55">
        <v>792.826</v>
      </c>
      <c r="G56" s="55">
        <v>403.381</v>
      </c>
      <c r="H56" s="55">
        <f t="shared" si="6"/>
        <v>1211.1440000000002</v>
      </c>
      <c r="I56" s="89">
        <f t="shared" si="7"/>
        <v>389.4450000000003</v>
      </c>
      <c r="J56" s="1"/>
      <c r="K56" s="15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2:254" s="58" customFormat="1" ht="12.75">
      <c r="B57" s="276" t="s">
        <v>15</v>
      </c>
      <c r="C57" s="280">
        <v>914</v>
      </c>
      <c r="D57" s="88"/>
      <c r="E57" s="55"/>
      <c r="F57" s="55"/>
      <c r="G57" s="55"/>
      <c r="H57" s="56">
        <f t="shared" si="6"/>
        <v>0</v>
      </c>
      <c r="I57" s="89">
        <f t="shared" si="7"/>
        <v>0</v>
      </c>
      <c r="J57" s="1"/>
      <c r="K57" s="1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2:254" s="58" customFormat="1" ht="13.5" thickBot="1">
      <c r="B58" s="275" t="s">
        <v>16</v>
      </c>
      <c r="C58" s="280">
        <v>914</v>
      </c>
      <c r="D58" s="88">
        <v>23.197</v>
      </c>
      <c r="E58" s="55">
        <v>23.198</v>
      </c>
      <c r="F58" s="55"/>
      <c r="G58" s="55"/>
      <c r="H58" s="56">
        <f t="shared" si="6"/>
        <v>23.198</v>
      </c>
      <c r="I58" s="89">
        <f t="shared" si="7"/>
        <v>0</v>
      </c>
      <c r="J58" s="1"/>
      <c r="K58" s="1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</row>
    <row r="59" spans="2:254" s="58" customFormat="1" ht="13.5" thickBot="1">
      <c r="B59" s="277" t="s">
        <v>23</v>
      </c>
      <c r="C59" s="93">
        <v>914</v>
      </c>
      <c r="D59" s="94">
        <f aca="true" t="shared" si="8" ref="D59:I59">SUM(D44:D58)</f>
        <v>165921.93099999998</v>
      </c>
      <c r="E59" s="95">
        <f t="shared" si="8"/>
        <v>135546.20599999998</v>
      </c>
      <c r="F59" s="95">
        <f t="shared" si="8"/>
        <v>459870.27</v>
      </c>
      <c r="G59" s="95">
        <f t="shared" si="8"/>
        <v>98944.782</v>
      </c>
      <c r="H59" s="95">
        <f t="shared" si="8"/>
        <v>496471.6939999999</v>
      </c>
      <c r="I59" s="95">
        <f t="shared" si="8"/>
        <v>360925.48800000007</v>
      </c>
      <c r="J59" s="1"/>
      <c r="K59" s="1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</row>
    <row r="60" ht="13.5" thickBot="1">
      <c r="K60" s="15"/>
    </row>
    <row r="61" spans="2:11" ht="43.5" customHeight="1" thickBot="1">
      <c r="B61" s="5" t="s">
        <v>20</v>
      </c>
      <c r="C61" s="361" t="s">
        <v>25</v>
      </c>
      <c r="D61" s="362" t="s">
        <v>352</v>
      </c>
      <c r="E61" s="6" t="s">
        <v>401</v>
      </c>
      <c r="F61" s="82" t="s">
        <v>336</v>
      </c>
      <c r="G61" s="5" t="s">
        <v>33</v>
      </c>
      <c r="H61" s="5" t="s">
        <v>353</v>
      </c>
      <c r="I61" s="361" t="s">
        <v>354</v>
      </c>
      <c r="K61" s="15"/>
    </row>
    <row r="62" spans="2:9" ht="13.5" thickBot="1">
      <c r="B62" s="47"/>
      <c r="C62" s="83"/>
      <c r="D62" s="84"/>
      <c r="E62" s="11">
        <v>1</v>
      </c>
      <c r="F62" s="85">
        <v>2</v>
      </c>
      <c r="G62" s="10">
        <v>3</v>
      </c>
      <c r="H62" s="85">
        <v>4</v>
      </c>
      <c r="I62" s="10">
        <v>5</v>
      </c>
    </row>
    <row r="63" spans="2:11" ht="12.75">
      <c r="B63" s="274" t="s">
        <v>4</v>
      </c>
      <c r="C63" s="278">
        <v>916</v>
      </c>
      <c r="D63" s="13">
        <v>2610.009</v>
      </c>
      <c r="E63" s="13">
        <v>3003.552</v>
      </c>
      <c r="F63" s="13">
        <v>10.099</v>
      </c>
      <c r="G63" s="13">
        <v>100.988</v>
      </c>
      <c r="H63" s="13">
        <f aca="true" t="shared" si="9" ref="H63:H77">E63+F63-G63</f>
        <v>2912.6630000000005</v>
      </c>
      <c r="I63" s="14">
        <f aca="true" t="shared" si="10" ref="I63:I77">H63-E63</f>
        <v>-90.88899999999967</v>
      </c>
      <c r="K63" s="15"/>
    </row>
    <row r="64" spans="2:11" ht="12.75">
      <c r="B64" s="76" t="s">
        <v>5</v>
      </c>
      <c r="C64" s="279">
        <v>916</v>
      </c>
      <c r="D64" s="87">
        <v>19258.884</v>
      </c>
      <c r="E64" s="37">
        <v>7809.24</v>
      </c>
      <c r="F64" s="18">
        <v>4735.825</v>
      </c>
      <c r="G64" s="18">
        <v>6454.736</v>
      </c>
      <c r="H64" s="18">
        <f t="shared" si="9"/>
        <v>6090.328999999999</v>
      </c>
      <c r="I64" s="19">
        <f t="shared" si="10"/>
        <v>-1718.911000000001</v>
      </c>
      <c r="K64" s="15"/>
    </row>
    <row r="65" spans="2:254" s="58" customFormat="1" ht="12.75">
      <c r="B65" s="275" t="s">
        <v>6</v>
      </c>
      <c r="C65" s="280">
        <v>916</v>
      </c>
      <c r="D65" s="88">
        <v>6646</v>
      </c>
      <c r="E65" s="55">
        <v>7400</v>
      </c>
      <c r="F65" s="55">
        <v>2156</v>
      </c>
      <c r="G65" s="55">
        <v>228</v>
      </c>
      <c r="H65" s="55">
        <f t="shared" si="9"/>
        <v>9328</v>
      </c>
      <c r="I65" s="89">
        <f t="shared" si="10"/>
        <v>1928</v>
      </c>
      <c r="J65" s="1"/>
      <c r="K65" s="1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2:254" s="58" customFormat="1" ht="12.75">
      <c r="B66" s="275" t="s">
        <v>7</v>
      </c>
      <c r="C66" s="280">
        <v>916</v>
      </c>
      <c r="D66" s="88">
        <v>9075.815</v>
      </c>
      <c r="E66" s="96">
        <v>10632.993</v>
      </c>
      <c r="F66" s="55">
        <v>6460.044</v>
      </c>
      <c r="G66" s="55">
        <v>8464.165</v>
      </c>
      <c r="H66" s="55">
        <f t="shared" si="9"/>
        <v>8628.872</v>
      </c>
      <c r="I66" s="89">
        <f t="shared" si="10"/>
        <v>-2004.121000000001</v>
      </c>
      <c r="J66" s="1"/>
      <c r="K66" s="15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2:254" s="58" customFormat="1" ht="12.75">
      <c r="B67" s="275" t="s">
        <v>8</v>
      </c>
      <c r="C67" s="280">
        <v>916</v>
      </c>
      <c r="D67" s="88">
        <v>145.7</v>
      </c>
      <c r="E67" s="55">
        <v>1078.862</v>
      </c>
      <c r="F67" s="55">
        <v>1576.381</v>
      </c>
      <c r="G67" s="55">
        <v>2567.684</v>
      </c>
      <c r="H67" s="55">
        <f t="shared" si="9"/>
        <v>87.5590000000002</v>
      </c>
      <c r="I67" s="89">
        <f t="shared" si="10"/>
        <v>-991.3029999999999</v>
      </c>
      <c r="J67" s="1"/>
      <c r="K67" s="15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pans="2:254" s="58" customFormat="1" ht="12.75">
      <c r="B68" s="275" t="s">
        <v>9</v>
      </c>
      <c r="C68" s="280">
        <v>916</v>
      </c>
      <c r="D68" s="88">
        <v>4893.506</v>
      </c>
      <c r="E68" s="55">
        <v>4700.444</v>
      </c>
      <c r="F68" s="55">
        <v>720.96</v>
      </c>
      <c r="G68" s="55">
        <v>3403.295</v>
      </c>
      <c r="H68" s="55">
        <f t="shared" si="9"/>
        <v>2018.1090000000004</v>
      </c>
      <c r="I68" s="89">
        <f t="shared" si="10"/>
        <v>-2682.335</v>
      </c>
      <c r="J68" s="1"/>
      <c r="K68" s="15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pans="2:254" s="58" customFormat="1" ht="12.75">
      <c r="B69" s="275" t="s">
        <v>10</v>
      </c>
      <c r="C69" s="280">
        <v>916</v>
      </c>
      <c r="D69" s="88">
        <v>286.772</v>
      </c>
      <c r="E69" s="96">
        <v>213.434</v>
      </c>
      <c r="F69" s="55">
        <v>565.419</v>
      </c>
      <c r="G69" s="96">
        <v>246.781</v>
      </c>
      <c r="H69" s="55">
        <f t="shared" si="9"/>
        <v>532.0719999999999</v>
      </c>
      <c r="I69" s="89">
        <f t="shared" si="10"/>
        <v>318.6379999999999</v>
      </c>
      <c r="J69" s="1"/>
      <c r="K69" s="1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</row>
    <row r="70" spans="2:254" s="58" customFormat="1" ht="12.75">
      <c r="B70" s="275" t="s">
        <v>11</v>
      </c>
      <c r="C70" s="280">
        <v>916</v>
      </c>
      <c r="D70" s="88">
        <v>2231.364</v>
      </c>
      <c r="E70" s="55">
        <v>2855.637</v>
      </c>
      <c r="F70" s="55">
        <v>3915.382</v>
      </c>
      <c r="G70" s="55">
        <v>3973.369</v>
      </c>
      <c r="H70" s="55">
        <f t="shared" si="9"/>
        <v>2797.65</v>
      </c>
      <c r="I70" s="89">
        <f t="shared" si="10"/>
        <v>-57.98700000000008</v>
      </c>
      <c r="J70" s="1"/>
      <c r="K70" s="15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2:254" s="58" customFormat="1" ht="12.75">
      <c r="B71" s="16" t="s">
        <v>343</v>
      </c>
      <c r="C71" s="280">
        <v>916</v>
      </c>
      <c r="D71" s="88">
        <v>6787.125</v>
      </c>
      <c r="E71" s="55">
        <v>6237.718</v>
      </c>
      <c r="F71" s="55">
        <v>11254.001</v>
      </c>
      <c r="G71" s="55">
        <v>6655.575</v>
      </c>
      <c r="H71" s="55">
        <f t="shared" si="9"/>
        <v>10836.144</v>
      </c>
      <c r="I71" s="89">
        <f t="shared" si="10"/>
        <v>4598.426</v>
      </c>
      <c r="J71" s="1"/>
      <c r="K71" s="15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pans="2:254" s="58" customFormat="1" ht="12.75">
      <c r="B72" s="276" t="s">
        <v>12</v>
      </c>
      <c r="C72" s="280">
        <v>916</v>
      </c>
      <c r="D72" s="88">
        <v>454.604</v>
      </c>
      <c r="E72" s="55">
        <v>454.604</v>
      </c>
      <c r="F72" s="55"/>
      <c r="G72" s="55"/>
      <c r="H72" s="55">
        <f t="shared" si="9"/>
        <v>454.604</v>
      </c>
      <c r="I72" s="89">
        <f t="shared" si="10"/>
        <v>0</v>
      </c>
      <c r="J72" s="1"/>
      <c r="K72" s="15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</row>
    <row r="73" spans="2:254" s="58" customFormat="1" ht="12.75">
      <c r="B73" s="276" t="s">
        <v>13</v>
      </c>
      <c r="C73" s="280">
        <v>916</v>
      </c>
      <c r="D73" s="88">
        <v>21776</v>
      </c>
      <c r="E73" s="55">
        <v>22673.814</v>
      </c>
      <c r="F73" s="55">
        <v>3704.222</v>
      </c>
      <c r="G73" s="55">
        <v>7191.814</v>
      </c>
      <c r="H73" s="55">
        <f t="shared" si="9"/>
        <v>19186.222</v>
      </c>
      <c r="I73" s="89">
        <f t="shared" si="10"/>
        <v>-3487.591999999997</v>
      </c>
      <c r="J73" s="1"/>
      <c r="K73" s="1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</row>
    <row r="74" spans="2:254" s="58" customFormat="1" ht="12.75">
      <c r="B74" s="276" t="s">
        <v>344</v>
      </c>
      <c r="C74" s="280">
        <v>916</v>
      </c>
      <c r="D74" s="88"/>
      <c r="E74" s="55"/>
      <c r="F74" s="55">
        <v>5818.581</v>
      </c>
      <c r="G74" s="55"/>
      <c r="H74" s="55">
        <f>E74+F74-G74</f>
        <v>5818.581</v>
      </c>
      <c r="I74" s="89">
        <f>H74-E74</f>
        <v>5818.581</v>
      </c>
      <c r="J74" s="1"/>
      <c r="K74" s="1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pans="2:254" s="58" customFormat="1" ht="12.75">
      <c r="B75" s="275" t="s">
        <v>14</v>
      </c>
      <c r="C75" s="280">
        <v>916</v>
      </c>
      <c r="D75" s="88">
        <v>667.804</v>
      </c>
      <c r="E75" s="55">
        <v>1140.08</v>
      </c>
      <c r="F75" s="55">
        <v>373.363</v>
      </c>
      <c r="G75" s="55">
        <v>208.238</v>
      </c>
      <c r="H75" s="55">
        <f t="shared" si="9"/>
        <v>1305.205</v>
      </c>
      <c r="I75" s="89">
        <f t="shared" si="10"/>
        <v>165.125</v>
      </c>
      <c r="J75" s="1"/>
      <c r="K75" s="1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</row>
    <row r="76" spans="2:254" s="58" customFormat="1" ht="12.75">
      <c r="B76" s="276" t="s">
        <v>15</v>
      </c>
      <c r="C76" s="280">
        <v>916</v>
      </c>
      <c r="D76" s="88">
        <v>1844.246</v>
      </c>
      <c r="E76" s="55">
        <v>1482.901</v>
      </c>
      <c r="F76" s="55"/>
      <c r="G76" s="55">
        <v>334.405</v>
      </c>
      <c r="H76" s="56">
        <f t="shared" si="9"/>
        <v>1148.496</v>
      </c>
      <c r="I76" s="89">
        <f t="shared" si="10"/>
        <v>-334.405</v>
      </c>
      <c r="J76" s="1"/>
      <c r="K76" s="15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</row>
    <row r="77" spans="2:254" s="58" customFormat="1" ht="13.5" thickBot="1">
      <c r="B77" s="275" t="s">
        <v>16</v>
      </c>
      <c r="C77" s="280">
        <v>916</v>
      </c>
      <c r="D77" s="88">
        <v>65.32</v>
      </c>
      <c r="E77" s="55">
        <v>65.32</v>
      </c>
      <c r="F77" s="269">
        <v>1016.5</v>
      </c>
      <c r="G77" s="269"/>
      <c r="H77" s="363">
        <f t="shared" si="9"/>
        <v>1081.82</v>
      </c>
      <c r="I77" s="89">
        <f t="shared" si="10"/>
        <v>1016.5</v>
      </c>
      <c r="J77" s="1"/>
      <c r="K77" s="1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</row>
    <row r="78" spans="2:254" s="58" customFormat="1" ht="13.5" thickBot="1">
      <c r="B78" s="277" t="s">
        <v>23</v>
      </c>
      <c r="C78" s="93">
        <v>916</v>
      </c>
      <c r="D78" s="94">
        <f aca="true" t="shared" si="11" ref="D78:I78">SUM(D63:D77)</f>
        <v>76743.149</v>
      </c>
      <c r="E78" s="95">
        <f t="shared" si="11"/>
        <v>69748.59900000002</v>
      </c>
      <c r="F78" s="95">
        <f t="shared" si="11"/>
        <v>42306.776999999995</v>
      </c>
      <c r="G78" s="95">
        <f t="shared" si="11"/>
        <v>39829.049999999996</v>
      </c>
      <c r="H78" s="95">
        <f t="shared" si="11"/>
        <v>72226.32600000002</v>
      </c>
      <c r="I78" s="95">
        <f t="shared" si="11"/>
        <v>2477.7270000000026</v>
      </c>
      <c r="J78" s="1"/>
      <c r="K78" s="15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</row>
    <row r="79" spans="3:11" ht="13.5" thickBot="1">
      <c r="C79" s="81"/>
      <c r="K79" s="15"/>
    </row>
    <row r="80" spans="2:11" ht="43.5" customHeight="1" thickBot="1">
      <c r="B80" s="5" t="s">
        <v>22</v>
      </c>
      <c r="C80" s="361" t="s">
        <v>25</v>
      </c>
      <c r="D80" s="362" t="s">
        <v>352</v>
      </c>
      <c r="E80" s="6" t="s">
        <v>401</v>
      </c>
      <c r="F80" s="82" t="s">
        <v>336</v>
      </c>
      <c r="G80" s="5" t="s">
        <v>33</v>
      </c>
      <c r="H80" s="5" t="s">
        <v>353</v>
      </c>
      <c r="I80" s="361" t="s">
        <v>354</v>
      </c>
      <c r="K80" s="15"/>
    </row>
    <row r="81" spans="2:9" ht="13.5" thickBot="1">
      <c r="B81" s="47"/>
      <c r="C81" s="44"/>
      <c r="D81" s="84"/>
      <c r="E81" s="11">
        <v>1</v>
      </c>
      <c r="F81" s="85">
        <v>2</v>
      </c>
      <c r="G81" s="10">
        <v>3</v>
      </c>
      <c r="H81" s="85">
        <v>4</v>
      </c>
      <c r="I81" s="10">
        <v>5</v>
      </c>
    </row>
    <row r="82" spans="2:11" ht="12.75">
      <c r="B82" s="12" t="s">
        <v>4</v>
      </c>
      <c r="C82" s="284"/>
      <c r="D82" s="281">
        <f aca="true" t="shared" si="12" ref="D82:I93">D6+D25+D44+D63</f>
        <v>5074.347</v>
      </c>
      <c r="E82" s="34">
        <f t="shared" si="12"/>
        <v>5893.9130000000005</v>
      </c>
      <c r="F82" s="34">
        <f t="shared" si="12"/>
        <v>46724.901</v>
      </c>
      <c r="G82" s="34">
        <f t="shared" si="12"/>
        <v>547.0799999999999</v>
      </c>
      <c r="H82" s="34">
        <f t="shared" si="12"/>
        <v>52071.734</v>
      </c>
      <c r="I82" s="34">
        <f t="shared" si="12"/>
        <v>46177.820999999996</v>
      </c>
      <c r="K82" s="15"/>
    </row>
    <row r="83" spans="2:11" ht="12.75">
      <c r="B83" s="16" t="s">
        <v>5</v>
      </c>
      <c r="C83" s="285"/>
      <c r="D83" s="282">
        <f t="shared" si="12"/>
        <v>20167.469999999998</v>
      </c>
      <c r="E83" s="37">
        <f t="shared" si="12"/>
        <v>9725.855</v>
      </c>
      <c r="F83" s="37">
        <f t="shared" si="12"/>
        <v>52204.954999999994</v>
      </c>
      <c r="G83" s="37">
        <f t="shared" si="12"/>
        <v>9411.322</v>
      </c>
      <c r="H83" s="37">
        <f t="shared" si="12"/>
        <v>52519.488</v>
      </c>
      <c r="I83" s="37">
        <f t="shared" si="12"/>
        <v>42793.633</v>
      </c>
      <c r="K83" s="15"/>
    </row>
    <row r="84" spans="2:11" ht="12.75">
      <c r="B84" s="16" t="s">
        <v>6</v>
      </c>
      <c r="C84" s="285"/>
      <c r="D84" s="282">
        <f t="shared" si="12"/>
        <v>6790.998</v>
      </c>
      <c r="E84" s="265">
        <f t="shared" si="12"/>
        <v>7576</v>
      </c>
      <c r="F84" s="265">
        <f t="shared" si="12"/>
        <v>3554</v>
      </c>
      <c r="G84" s="265">
        <f t="shared" si="12"/>
        <v>848</v>
      </c>
      <c r="H84" s="265">
        <f t="shared" si="12"/>
        <v>10282</v>
      </c>
      <c r="I84" s="265">
        <f t="shared" si="12"/>
        <v>2706</v>
      </c>
      <c r="K84" s="15"/>
    </row>
    <row r="85" spans="2:11" ht="12.75">
      <c r="B85" s="16" t="s">
        <v>7</v>
      </c>
      <c r="C85" s="285"/>
      <c r="D85" s="282">
        <f t="shared" si="12"/>
        <v>20186.896</v>
      </c>
      <c r="E85" s="265">
        <f t="shared" si="12"/>
        <v>20106.281000000003</v>
      </c>
      <c r="F85" s="265">
        <f t="shared" si="12"/>
        <v>27429.123</v>
      </c>
      <c r="G85" s="265">
        <f t="shared" si="12"/>
        <v>10834.713</v>
      </c>
      <c r="H85" s="265">
        <f t="shared" si="12"/>
        <v>36700.691</v>
      </c>
      <c r="I85" s="265">
        <f t="shared" si="12"/>
        <v>16594.410000000003</v>
      </c>
      <c r="K85" s="15"/>
    </row>
    <row r="86" spans="2:11" ht="12.75">
      <c r="B86" s="16" t="s">
        <v>8</v>
      </c>
      <c r="C86" s="285"/>
      <c r="D86" s="282">
        <f t="shared" si="12"/>
        <v>2144.313</v>
      </c>
      <c r="E86" s="265">
        <f t="shared" si="12"/>
        <v>5583.726</v>
      </c>
      <c r="F86" s="265">
        <f t="shared" si="12"/>
        <v>105480.041</v>
      </c>
      <c r="G86" s="265">
        <f t="shared" si="12"/>
        <v>9653.380000000001</v>
      </c>
      <c r="H86" s="265">
        <f t="shared" si="12"/>
        <v>101410.38699999999</v>
      </c>
      <c r="I86" s="265">
        <f t="shared" si="12"/>
        <v>95826.66100000001</v>
      </c>
      <c r="K86" s="15"/>
    </row>
    <row r="87" spans="2:11" ht="12.75">
      <c r="B87" s="16" t="s">
        <v>9</v>
      </c>
      <c r="C87" s="285"/>
      <c r="D87" s="282">
        <f t="shared" si="12"/>
        <v>10513.523000000001</v>
      </c>
      <c r="E87" s="265">
        <f t="shared" si="12"/>
        <v>8796.152</v>
      </c>
      <c r="F87" s="265">
        <f t="shared" si="12"/>
        <v>1308.326</v>
      </c>
      <c r="G87" s="265">
        <f t="shared" si="12"/>
        <v>4714.104</v>
      </c>
      <c r="H87" s="265">
        <f t="shared" si="12"/>
        <v>5390.374000000001</v>
      </c>
      <c r="I87" s="265">
        <f t="shared" si="12"/>
        <v>-3405.778</v>
      </c>
      <c r="K87" s="15"/>
    </row>
    <row r="88" spans="2:11" ht="12.75">
      <c r="B88" s="16" t="s">
        <v>10</v>
      </c>
      <c r="C88" s="285"/>
      <c r="D88" s="282">
        <f t="shared" si="12"/>
        <v>420.937</v>
      </c>
      <c r="E88" s="265">
        <f t="shared" si="12"/>
        <v>405.74800000000005</v>
      </c>
      <c r="F88" s="265">
        <f t="shared" si="12"/>
        <v>679.403</v>
      </c>
      <c r="G88" s="265">
        <f t="shared" si="12"/>
        <v>331.93100000000004</v>
      </c>
      <c r="H88" s="265">
        <f t="shared" si="12"/>
        <v>753.2199999999999</v>
      </c>
      <c r="I88" s="265">
        <f t="shared" si="12"/>
        <v>347.4719999999999</v>
      </c>
      <c r="K88" s="15"/>
    </row>
    <row r="89" spans="2:11" ht="12.75">
      <c r="B89" s="16" t="s">
        <v>11</v>
      </c>
      <c r="C89" s="285"/>
      <c r="D89" s="282">
        <f t="shared" si="12"/>
        <v>136977.30299999999</v>
      </c>
      <c r="E89" s="265">
        <f t="shared" si="12"/>
        <v>97975.729</v>
      </c>
      <c r="F89" s="265">
        <f t="shared" si="12"/>
        <v>160557.531</v>
      </c>
      <c r="G89" s="265">
        <f t="shared" si="12"/>
        <v>69726.283</v>
      </c>
      <c r="H89" s="265">
        <f t="shared" si="12"/>
        <v>188806.97699999998</v>
      </c>
      <c r="I89" s="265">
        <f t="shared" si="12"/>
        <v>90831.248</v>
      </c>
      <c r="K89" s="15"/>
    </row>
    <row r="90" spans="2:11" ht="12.75">
      <c r="B90" s="16" t="s">
        <v>343</v>
      </c>
      <c r="C90" s="285"/>
      <c r="D90" s="282">
        <f t="shared" si="12"/>
        <v>11448.571</v>
      </c>
      <c r="E90" s="265">
        <f t="shared" si="12"/>
        <v>10711.565999999999</v>
      </c>
      <c r="F90" s="265">
        <f t="shared" si="12"/>
        <v>20497.684</v>
      </c>
      <c r="G90" s="265">
        <f t="shared" si="12"/>
        <v>11379.927</v>
      </c>
      <c r="H90" s="265">
        <f t="shared" si="12"/>
        <v>19829.323</v>
      </c>
      <c r="I90" s="265">
        <f t="shared" si="12"/>
        <v>9117.757000000001</v>
      </c>
      <c r="K90" s="15"/>
    </row>
    <row r="91" spans="2:11" ht="12.75">
      <c r="B91" s="20" t="s">
        <v>12</v>
      </c>
      <c r="C91" s="285"/>
      <c r="D91" s="282">
        <f t="shared" si="12"/>
        <v>656.691</v>
      </c>
      <c r="E91" s="265">
        <f t="shared" si="12"/>
        <v>788.069</v>
      </c>
      <c r="F91" s="265">
        <f t="shared" si="12"/>
        <v>283.438</v>
      </c>
      <c r="G91" s="265">
        <f t="shared" si="12"/>
        <v>264.212</v>
      </c>
      <c r="H91" s="265">
        <f t="shared" si="12"/>
        <v>807.2950000000001</v>
      </c>
      <c r="I91" s="265">
        <f t="shared" si="12"/>
        <v>19.226000000000056</v>
      </c>
      <c r="K91" s="15"/>
    </row>
    <row r="92" spans="2:11" ht="12.75">
      <c r="B92" s="20" t="s">
        <v>13</v>
      </c>
      <c r="C92" s="285"/>
      <c r="D92" s="282">
        <f t="shared" si="12"/>
        <v>35056.895000000004</v>
      </c>
      <c r="E92" s="265">
        <f t="shared" si="12"/>
        <v>41267.507</v>
      </c>
      <c r="F92" s="265">
        <f t="shared" si="12"/>
        <v>11112.628</v>
      </c>
      <c r="G92" s="265">
        <f t="shared" si="12"/>
        <v>26824.549</v>
      </c>
      <c r="H92" s="265">
        <f t="shared" si="12"/>
        <v>25555.586000000007</v>
      </c>
      <c r="I92" s="265">
        <f t="shared" si="12"/>
        <v>-15711.920999999993</v>
      </c>
      <c r="K92" s="15"/>
    </row>
    <row r="93" spans="2:11" ht="12.75">
      <c r="B93" s="53" t="s">
        <v>344</v>
      </c>
      <c r="C93" s="285"/>
      <c r="D93" s="282">
        <f t="shared" si="12"/>
        <v>165.811</v>
      </c>
      <c r="E93" s="265">
        <f t="shared" si="12"/>
        <v>165.811</v>
      </c>
      <c r="F93" s="265">
        <f t="shared" si="12"/>
        <v>80170.464</v>
      </c>
      <c r="G93" s="265">
        <f t="shared" si="12"/>
        <v>518.648</v>
      </c>
      <c r="H93" s="265">
        <f aca="true" t="shared" si="13" ref="H93:I96">H17+H36+H55+H74</f>
        <v>79817.62700000001</v>
      </c>
      <c r="I93" s="265">
        <f t="shared" si="13"/>
        <v>79651.816</v>
      </c>
      <c r="K93" s="15"/>
    </row>
    <row r="94" spans="2:11" ht="12.75">
      <c r="B94" s="16" t="s">
        <v>14</v>
      </c>
      <c r="C94" s="285"/>
      <c r="D94" s="282">
        <f aca="true" t="shared" si="14" ref="D94:G96">D18+D37+D56+D75</f>
        <v>1775.77</v>
      </c>
      <c r="E94" s="265">
        <f t="shared" si="14"/>
        <v>2266.578</v>
      </c>
      <c r="F94" s="265">
        <f t="shared" si="14"/>
        <v>1198.689</v>
      </c>
      <c r="G94" s="265">
        <f t="shared" si="14"/>
        <v>692.828</v>
      </c>
      <c r="H94" s="265">
        <f t="shared" si="13"/>
        <v>2772.4390000000003</v>
      </c>
      <c r="I94" s="265">
        <f t="shared" si="13"/>
        <v>505.8610000000003</v>
      </c>
      <c r="K94" s="15"/>
    </row>
    <row r="95" spans="2:11" ht="12.75">
      <c r="B95" s="20" t="s">
        <v>15</v>
      </c>
      <c r="C95" s="285"/>
      <c r="D95" s="282">
        <f t="shared" si="14"/>
        <v>1873.644</v>
      </c>
      <c r="E95" s="265">
        <f t="shared" si="14"/>
        <v>1505.584</v>
      </c>
      <c r="F95" s="265">
        <f t="shared" si="14"/>
        <v>45.442</v>
      </c>
      <c r="G95" s="265">
        <f t="shared" si="14"/>
        <v>382.54499999999996</v>
      </c>
      <c r="H95" s="265">
        <f t="shared" si="13"/>
        <v>1168.481</v>
      </c>
      <c r="I95" s="265">
        <f t="shared" si="13"/>
        <v>-337.10299999999995</v>
      </c>
      <c r="K95" s="15"/>
    </row>
    <row r="96" spans="2:11" ht="13.5" thickBot="1">
      <c r="B96" s="16" t="s">
        <v>16</v>
      </c>
      <c r="C96" s="285"/>
      <c r="D96" s="282">
        <f t="shared" si="14"/>
        <v>246.70600000000002</v>
      </c>
      <c r="E96" s="265">
        <f t="shared" si="14"/>
        <v>245.125</v>
      </c>
      <c r="F96" s="265">
        <f t="shared" si="14"/>
        <v>1063.491</v>
      </c>
      <c r="G96" s="265">
        <f t="shared" si="14"/>
        <v>50.685</v>
      </c>
      <c r="H96" s="265">
        <f t="shared" si="13"/>
        <v>1257.931</v>
      </c>
      <c r="I96" s="265">
        <f t="shared" si="13"/>
        <v>1012.806</v>
      </c>
      <c r="K96" s="15"/>
    </row>
    <row r="97" spans="2:11" ht="13.5" thickBot="1">
      <c r="B97" s="23" t="s">
        <v>23</v>
      </c>
      <c r="C97" s="44"/>
      <c r="D97" s="283">
        <f>SUM(D82:D96)</f>
        <v>253499.87499999994</v>
      </c>
      <c r="E97" s="25">
        <f>SUM(E82:E96)</f>
        <v>213013.64399999997</v>
      </c>
      <c r="F97" s="25">
        <f>SUM(F82:F96)</f>
        <v>512310.11600000004</v>
      </c>
      <c r="G97" s="25">
        <f>SUM(G82:G96)</f>
        <v>146180.207</v>
      </c>
      <c r="H97" s="25">
        <f>SUM(H82:H96)</f>
        <v>579143.553</v>
      </c>
      <c r="I97" s="25">
        <f>SUM(I82:I96)+0.01</f>
        <v>366129.91900000005</v>
      </c>
      <c r="K97" s="15"/>
    </row>
    <row r="98" ht="12.75">
      <c r="K98" s="15"/>
    </row>
    <row r="99" ht="12.75">
      <c r="K99" s="15"/>
    </row>
    <row r="100" ht="12.75">
      <c r="K100" s="15"/>
    </row>
    <row r="101" ht="12.75">
      <c r="K101" s="15"/>
    </row>
    <row r="102" spans="8:11" ht="12.75">
      <c r="H102" s="15"/>
      <c r="K102" s="15"/>
    </row>
    <row r="103" ht="12.75">
      <c r="K103" s="15"/>
    </row>
    <row r="104" spans="8:11" ht="12.75">
      <c r="H104" s="15"/>
      <c r="K104" s="15"/>
    </row>
    <row r="105" ht="12.75">
      <c r="K105" s="15"/>
    </row>
    <row r="106" ht="12.75">
      <c r="K106" s="15"/>
    </row>
    <row r="107" ht="12.75">
      <c r="K107" s="15"/>
    </row>
    <row r="108" ht="12.75">
      <c r="K108" s="15"/>
    </row>
    <row r="109" ht="12.75">
      <c r="K109" s="15"/>
    </row>
    <row r="110" ht="12.75">
      <c r="K110" s="15"/>
    </row>
    <row r="111" ht="12.75">
      <c r="K111" s="15"/>
    </row>
    <row r="112" ht="12.75">
      <c r="K112" s="15"/>
    </row>
    <row r="113" ht="12.75">
      <c r="K113" s="15"/>
    </row>
    <row r="114" ht="12.75">
      <c r="K114" s="15"/>
    </row>
    <row r="115" ht="12.75">
      <c r="K115" s="15"/>
    </row>
    <row r="116" ht="12.75">
      <c r="K116" s="15"/>
    </row>
    <row r="117" ht="12.75">
      <c r="K117" s="15"/>
    </row>
    <row r="118" ht="12.75">
      <c r="K118" s="15"/>
    </row>
    <row r="119" ht="12.75">
      <c r="K119" s="15"/>
    </row>
    <row r="120" ht="12.75">
      <c r="K120" s="15"/>
    </row>
    <row r="121" ht="12.75">
      <c r="K121" s="15"/>
    </row>
    <row r="122" ht="12.75">
      <c r="K122" s="15"/>
    </row>
    <row r="123" ht="12.75">
      <c r="K123" s="15"/>
    </row>
    <row r="124" ht="12.75">
      <c r="K124" s="15"/>
    </row>
    <row r="125" ht="12.75">
      <c r="K125" s="15"/>
    </row>
    <row r="126" ht="12.75">
      <c r="K126" s="15"/>
    </row>
    <row r="127" ht="12.75">
      <c r="K127" s="15"/>
    </row>
    <row r="128" ht="12.75">
      <c r="K128" s="15"/>
    </row>
    <row r="129" ht="12.75">
      <c r="K129" s="15"/>
    </row>
    <row r="130" ht="12.75">
      <c r="K130" s="15"/>
    </row>
    <row r="131" ht="12.75">
      <c r="K131" s="15"/>
    </row>
    <row r="132" ht="12.75">
      <c r="K132" s="15"/>
    </row>
    <row r="133" ht="12.75">
      <c r="K133" s="15"/>
    </row>
    <row r="134" ht="12.75">
      <c r="K134" s="15"/>
    </row>
    <row r="135" ht="12.75">
      <c r="K135" s="15"/>
    </row>
    <row r="136" ht="12.75">
      <c r="K136" s="15"/>
    </row>
    <row r="137" ht="12.75">
      <c r="K137" s="15"/>
    </row>
    <row r="138" ht="12.75">
      <c r="K138" s="15"/>
    </row>
    <row r="139" ht="12.75">
      <c r="K139" s="15"/>
    </row>
    <row r="140" ht="12.75">
      <c r="K140" s="15"/>
    </row>
    <row r="141" ht="12.75">
      <c r="K141" s="15"/>
    </row>
    <row r="142" ht="12.75">
      <c r="K142" s="15"/>
    </row>
    <row r="143" ht="12.75">
      <c r="K143" s="15"/>
    </row>
    <row r="144" ht="12.75">
      <c r="K144" s="15"/>
    </row>
    <row r="145" ht="12.75">
      <c r="K145" s="15"/>
    </row>
    <row r="146" ht="12.75">
      <c r="K146" s="15"/>
    </row>
    <row r="147" ht="12.75">
      <c r="K147" s="15"/>
    </row>
    <row r="148" ht="12.75">
      <c r="K148" s="15"/>
    </row>
    <row r="149" ht="12.75">
      <c r="K149" s="15"/>
    </row>
    <row r="150" ht="12.75">
      <c r="K150" s="15"/>
    </row>
    <row r="151" ht="12.75">
      <c r="K151" s="15"/>
    </row>
    <row r="152" ht="12.75">
      <c r="K152" s="15"/>
    </row>
    <row r="153" ht="12.75">
      <c r="K153" s="15"/>
    </row>
    <row r="154" ht="12.75">
      <c r="K154" s="15"/>
    </row>
    <row r="155" ht="12.75">
      <c r="K155" s="15"/>
    </row>
    <row r="156" ht="12.75">
      <c r="K156" s="15"/>
    </row>
    <row r="157" ht="12.75">
      <c r="K157" s="15"/>
    </row>
    <row r="158" ht="12.75">
      <c r="K158" s="15"/>
    </row>
    <row r="159" ht="12.75">
      <c r="K159" s="15"/>
    </row>
    <row r="160" ht="12.75">
      <c r="K160" s="15"/>
    </row>
    <row r="161" ht="12.75">
      <c r="K161" s="15"/>
    </row>
    <row r="162" ht="12.75">
      <c r="K162" s="15"/>
    </row>
    <row r="163" ht="12.75">
      <c r="K163" s="15"/>
    </row>
    <row r="164" ht="12.75">
      <c r="K164" s="15"/>
    </row>
    <row r="165" ht="12.75">
      <c r="K165" s="15"/>
    </row>
    <row r="166" ht="12.75">
      <c r="K166" s="15"/>
    </row>
    <row r="167" ht="12.75">
      <c r="K167" s="15"/>
    </row>
    <row r="168" ht="12.75">
      <c r="K168" s="15"/>
    </row>
    <row r="169" ht="12.75">
      <c r="K169" s="15"/>
    </row>
    <row r="170" ht="12.75">
      <c r="K170" s="15"/>
    </row>
    <row r="171" ht="12.75">
      <c r="K171" s="15"/>
    </row>
    <row r="172" ht="12.75">
      <c r="K172" s="15"/>
    </row>
    <row r="173" ht="12.75">
      <c r="K173" s="15"/>
    </row>
    <row r="174" ht="12.75">
      <c r="K174" s="15"/>
    </row>
    <row r="175" ht="12.75">
      <c r="K175" s="15"/>
    </row>
    <row r="176" ht="12.75">
      <c r="K176" s="15"/>
    </row>
    <row r="177" ht="12.75">
      <c r="K177" s="15"/>
    </row>
    <row r="178" ht="12.75">
      <c r="K178" s="15"/>
    </row>
    <row r="179" ht="12.75">
      <c r="K179" s="15"/>
    </row>
    <row r="180" ht="12.75">
      <c r="K180" s="15"/>
    </row>
    <row r="181" ht="12.75">
      <c r="K181" s="15"/>
    </row>
    <row r="182" ht="12.75">
      <c r="K182" s="15"/>
    </row>
    <row r="183" ht="12.75">
      <c r="K183" s="15"/>
    </row>
    <row r="184" ht="12.75">
      <c r="K184" s="15"/>
    </row>
    <row r="185" ht="12.75">
      <c r="K185" s="15"/>
    </row>
    <row r="186" ht="12.75">
      <c r="K186" s="15"/>
    </row>
    <row r="187" ht="12.75">
      <c r="K187" s="15"/>
    </row>
    <row r="188" ht="12.75">
      <c r="K188" s="15"/>
    </row>
    <row r="189" ht="12.75">
      <c r="K189" s="15"/>
    </row>
    <row r="190" ht="12.75">
      <c r="K190" s="15"/>
    </row>
    <row r="191" ht="12.75">
      <c r="K191" s="15"/>
    </row>
    <row r="192" ht="12.75">
      <c r="K192" s="15"/>
    </row>
    <row r="193" ht="12.75">
      <c r="K193" s="15"/>
    </row>
    <row r="194" ht="12.75">
      <c r="K194" s="15"/>
    </row>
    <row r="195" ht="12.75">
      <c r="K195" s="15"/>
    </row>
    <row r="196" ht="12.75">
      <c r="K196" s="15"/>
    </row>
    <row r="197" ht="12.75">
      <c r="K197" s="15"/>
    </row>
    <row r="198" ht="12.75">
      <c r="K198" s="15"/>
    </row>
    <row r="199" ht="12.75">
      <c r="K199" s="15"/>
    </row>
    <row r="200" ht="12.75">
      <c r="K200" s="15"/>
    </row>
    <row r="201" ht="12.75">
      <c r="K201" s="15"/>
    </row>
    <row r="202" ht="12.75">
      <c r="K202" s="15"/>
    </row>
    <row r="203" ht="12.75">
      <c r="K203" s="15"/>
    </row>
    <row r="204" ht="12.75">
      <c r="K204" s="15"/>
    </row>
    <row r="205" ht="12.75">
      <c r="K205" s="15"/>
    </row>
    <row r="206" ht="12.75">
      <c r="K206" s="15"/>
    </row>
    <row r="207" ht="12.75">
      <c r="K207" s="15"/>
    </row>
    <row r="208" ht="12.75">
      <c r="K208" s="15"/>
    </row>
    <row r="209" ht="12.75">
      <c r="K209" s="15"/>
    </row>
    <row r="210" ht="12.75">
      <c r="K210" s="15"/>
    </row>
    <row r="211" ht="12.75">
      <c r="K211" s="15"/>
    </row>
    <row r="212" ht="12.75">
      <c r="K212" s="15"/>
    </row>
    <row r="213" ht="12.75">
      <c r="K213" s="15"/>
    </row>
    <row r="214" ht="12.75">
      <c r="K214" s="15"/>
    </row>
    <row r="215" ht="12.75">
      <c r="K215" s="15"/>
    </row>
    <row r="216" ht="12.75">
      <c r="K216" s="15"/>
    </row>
    <row r="217" ht="12.75">
      <c r="K217" s="15"/>
    </row>
    <row r="218" ht="12.75">
      <c r="K218" s="15"/>
    </row>
    <row r="219" ht="12.75">
      <c r="K219" s="15"/>
    </row>
    <row r="220" ht="12.75">
      <c r="K220" s="15"/>
    </row>
    <row r="221" ht="12.75">
      <c r="K221" s="15"/>
    </row>
    <row r="222" ht="12.75">
      <c r="K222" s="15"/>
    </row>
    <row r="223" ht="12.75">
      <c r="K223" s="15"/>
    </row>
    <row r="224" ht="12.75">
      <c r="K224" s="15"/>
    </row>
    <row r="225" ht="12.75">
      <c r="K225" s="15"/>
    </row>
    <row r="226" ht="12.75">
      <c r="K226" s="15"/>
    </row>
    <row r="227" ht="12.75">
      <c r="K227" s="15"/>
    </row>
    <row r="228" ht="12.75">
      <c r="K228" s="15"/>
    </row>
    <row r="229" ht="12.75">
      <c r="K229" s="15"/>
    </row>
    <row r="230" ht="12.75">
      <c r="K230" s="15"/>
    </row>
    <row r="231" ht="12.75">
      <c r="K231" s="15"/>
    </row>
    <row r="232" ht="12.75">
      <c r="K232" s="15"/>
    </row>
    <row r="233" ht="12.75">
      <c r="K233" s="15"/>
    </row>
    <row r="234" ht="12.75">
      <c r="K234" s="15"/>
    </row>
    <row r="235" ht="12.75">
      <c r="K235" s="15"/>
    </row>
    <row r="236" ht="12.75">
      <c r="K236" s="15"/>
    </row>
    <row r="237" ht="12.75">
      <c r="K237" s="15"/>
    </row>
    <row r="238" ht="12.75">
      <c r="K238" s="15"/>
    </row>
    <row r="239" ht="12.75">
      <c r="K239" s="15"/>
    </row>
    <row r="240" ht="12.75">
      <c r="K240" s="15"/>
    </row>
    <row r="241" ht="12.75">
      <c r="K241" s="15"/>
    </row>
    <row r="242" ht="12.75">
      <c r="K242" s="15"/>
    </row>
    <row r="243" ht="12.75">
      <c r="K243" s="15"/>
    </row>
    <row r="244" ht="12.75">
      <c r="K244" s="15"/>
    </row>
    <row r="245" ht="12.75">
      <c r="K245" s="15"/>
    </row>
    <row r="246" ht="12.75">
      <c r="K246" s="15"/>
    </row>
    <row r="247" ht="12.75">
      <c r="K247" s="15"/>
    </row>
    <row r="248" ht="12.75">
      <c r="K248" s="15"/>
    </row>
    <row r="249" ht="12.75">
      <c r="K249" s="15"/>
    </row>
    <row r="250" ht="12.75">
      <c r="K250" s="15"/>
    </row>
    <row r="251" ht="12.75">
      <c r="K251" s="15"/>
    </row>
    <row r="252" ht="12.75">
      <c r="K252" s="15"/>
    </row>
    <row r="253" ht="12.75">
      <c r="K253" s="15"/>
    </row>
    <row r="254" ht="12.75">
      <c r="K254" s="15"/>
    </row>
    <row r="255" ht="12.75">
      <c r="K255" s="15"/>
    </row>
    <row r="256" ht="12.75">
      <c r="K256" s="15"/>
    </row>
    <row r="257" ht="12.75">
      <c r="K257" s="15"/>
    </row>
    <row r="258" ht="12.75">
      <c r="K258" s="15"/>
    </row>
    <row r="259" ht="12.75">
      <c r="K259" s="15"/>
    </row>
  </sheetData>
  <printOptions horizontalCentered="1" verticalCentered="1"/>
  <pageMargins left="0" right="0" top="0.3937007874015748" bottom="0.1968503937007874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avratova</dc:creator>
  <cp:keywords/>
  <dc:description/>
  <cp:lastModifiedBy>avratova</cp:lastModifiedBy>
  <cp:lastPrinted>2010-05-31T12:46:31Z</cp:lastPrinted>
  <dcterms:created xsi:type="dcterms:W3CDTF">2008-02-28T11:41:56Z</dcterms:created>
  <dcterms:modified xsi:type="dcterms:W3CDTF">2011-06-08T08:50:56Z</dcterms:modified>
  <cp:category/>
  <cp:version/>
  <cp:contentType/>
  <cp:contentStatus/>
</cp:coreProperties>
</file>