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4780" windowHeight="11340" activeTab="0"/>
  </bookViews>
  <sheets>
    <sheet name="1_Bilance" sheetId="1" r:id="rId1"/>
    <sheet name="2_Srovnání A+K" sheetId="2" r:id="rId2"/>
    <sheet name="3 Ukaz A" sheetId="3" r:id="rId3"/>
    <sheet name="4_K" sheetId="4" r:id="rId4"/>
    <sheet name="5_C" sheetId="5" r:id="rId5"/>
    <sheet name="6 Ukaz.F U3V " sheetId="6" r:id="rId6"/>
    <sheet name="7_Ukaz. F_SSP" sheetId="7" r:id="rId7"/>
    <sheet name="8 Ukaz I" sheetId="8" r:id="rId8"/>
    <sheet name="9 Ukaz J" sheetId="9" r:id="rId9"/>
    <sheet name="10 Ukaz U" sheetId="10" r:id="rId10"/>
  </sheets>
  <definedNames>
    <definedName name="_xlnm._FilterDatabase" localSheetId="2" hidden="1">'3 Ukaz A'!$A$13:$N$150</definedName>
    <definedName name="_xlnm.Print_Area" localSheetId="0">'1_Bilance'!$A$1:$R$64</definedName>
    <definedName name="_xlnm.Print_Area" localSheetId="1">'2_Srovnání A+K'!$B$1:$W$38</definedName>
    <definedName name="_xlnm.Print_Area" localSheetId="4">'5_C'!$A$1:$E$49</definedName>
  </definedNames>
  <calcPr fullCalcOnLoad="1"/>
</workbook>
</file>

<file path=xl/comments1.xml><?xml version="1.0" encoding="utf-8"?>
<comments xmlns="http://schemas.openxmlformats.org/spreadsheetml/2006/main">
  <authors>
    <author>Pospíšilová Lenka</author>
  </authors>
  <commentList>
    <comment ref="A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institucionální části rozpočtu a počtu normativních studentů; (A+K)/norm. počet studentů.</t>
        </r>
      </text>
    </comment>
    <comment ref="J5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Výpočtové stipendium pro 1 studenta doktorského studijního programu (rok 2008 i r. 2009 88775 Kč, v roce 2010 zvýšení o 5,2% na 93 380 Kč)</t>
        </r>
      </text>
    </comment>
    <comment ref="A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části rozpočtu v ukazateli A a normativního počtu studentů.</t>
        </r>
      </text>
    </comment>
    <comment ref="J6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(r. 2006 - 6395 Kč, r.2007 - 6500 Kč, r. 2008 - 6500 Kč, r. 2009 - 6500 Kč)</t>
        </r>
      </text>
    </comment>
    <comment ref="J7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(§91 odst. 3 zákona č. 111/1998 Sb., o vysokých školách), přiznává se na 10 měs. v roce</t>
        </r>
      </text>
    </comment>
    <comment ref="J8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(r. 2007, r. 2008 i r. 2009 - 23 Kč)</t>
        </r>
      </text>
    </comment>
    <comment ref="H5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nove VVŠ - 25 mil. Kč
neslyšící - 2 mil. Kč
ostatní - 15 mil. Kč</t>
        </r>
      </text>
    </comment>
    <comment ref="I5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podpora tvůrčích činností - 40 mil. Kč</t>
        </r>
      </text>
    </comment>
  </commentList>
</comments>
</file>

<file path=xl/comments4.xml><?xml version="1.0" encoding="utf-8"?>
<comments xmlns="http://schemas.openxmlformats.org/spreadsheetml/2006/main">
  <authors>
    <author>Pospíšilová Lenka</author>
    <author>valasekp</author>
  </authors>
  <commentList>
    <comment ref="C4" authorId="0">
      <text>
        <r>
          <rPr>
            <sz val="8"/>
            <rFont val="Tahoma"/>
            <family val="2"/>
          </rPr>
          <t>Použité údaje jsou za období 2007-2011, zveřejněné v lednu 2013 (zpracovávané v roce 2012).</t>
        </r>
      </text>
    </comment>
    <comment ref="E4" authorId="0">
      <text>
        <r>
          <rPr>
            <sz val="8"/>
            <rFont val="Tahoma"/>
            <family val="2"/>
          </rPr>
          <t>Součet výsledků RUV za 4 roky: 2009, 2010, 2011, 2012</t>
        </r>
      </text>
    </comment>
    <comment ref="I4" authorId="1">
      <text>
        <r>
          <rPr>
            <b/>
            <sz val="8"/>
            <rFont val="Tahoma"/>
            <family val="2"/>
          </rPr>
          <t>valasekp:</t>
        </r>
        <r>
          <rPr>
            <sz val="8"/>
            <rFont val="Tahoma"/>
            <family val="2"/>
          </rPr>
          <t xml:space="preserve">
získané v intervalu let 2008-2012
</t>
        </r>
      </text>
    </comment>
  </commentList>
</comments>
</file>

<file path=xl/sharedStrings.xml><?xml version="1.0" encoding="utf-8"?>
<sst xmlns="http://schemas.openxmlformats.org/spreadsheetml/2006/main" count="1257" uniqueCount="466">
  <si>
    <t>Ukazatel A, výpočet na rok 2014</t>
  </si>
  <si>
    <t>Poznámka:</t>
  </si>
  <si>
    <t>Kategorie:</t>
  </si>
  <si>
    <t>B1</t>
  </si>
  <si>
    <t>bakalářská studia, první rok studia</t>
  </si>
  <si>
    <t>Počty přepočtených studentů magisterských studijních programů M5111 Zubní lékařství, P5104 Stomatologie, P5155 Stomatologie a zubní lékařství a P5165 Stomatologie, které nejsou limitovány, jsou uvedeny v samostatné tabulce dole.</t>
  </si>
  <si>
    <t>M1</t>
  </si>
  <si>
    <t>magisterská studia pěti až šestiletá první, rok studia</t>
  </si>
  <si>
    <t>N1</t>
  </si>
  <si>
    <t>magisterská studia navazující na bakalářská studia, první rok studia</t>
  </si>
  <si>
    <t>Umělecké VVŠ jsou uvedeny v samostatné tabulce. Jejich výsledky a výsledky ostatních VVŠ jsou sečteny v tabulce "Všechny VVŠ".</t>
  </si>
  <si>
    <t>P1</t>
  </si>
  <si>
    <t>doktorská studia, první rok studia</t>
  </si>
  <si>
    <t>SP2+</t>
  </si>
  <si>
    <t>všechny typy studia, druhé a další roky studia</t>
  </si>
  <si>
    <t>Název VŠ</t>
  </si>
  <si>
    <t>Kategorie</t>
  </si>
  <si>
    <t xml:space="preserve">Započtený počet přepočtených studentů bez SP 5104, 5111 a 5155 </t>
  </si>
  <si>
    <t>Stud. programy 5104, 5111 a 5155 (viz tab. dole)</t>
  </si>
  <si>
    <t>Započtený přepočt. počet studentů vč. 5104, 5111 a 5155</t>
  </si>
  <si>
    <t>Průměrný koef. ekon. náročnosti ke sl. 5</t>
  </si>
  <si>
    <t>Počet normativních studentů ke sl. 5</t>
  </si>
  <si>
    <t>Počet normativních studentů programů 5104, 5111 a 5155 (viz tab. dole)</t>
  </si>
  <si>
    <t>Počet normativních studentů celkem</t>
  </si>
  <si>
    <t>Částka na jednu VVŠ v tis. Kč</t>
  </si>
  <si>
    <t>Počet nevyužitých míst do limitu</t>
  </si>
  <si>
    <t>Počet nadlimitních přepočt. studentů</t>
  </si>
  <si>
    <t>UK Praha</t>
  </si>
  <si>
    <t>SUMA: B1</t>
  </si>
  <si>
    <t>SUMA: M1</t>
  </si>
  <si>
    <t>SUMA: N1</t>
  </si>
  <si>
    <t>SUMA: P1</t>
  </si>
  <si>
    <t>SUMA: SP2+</t>
  </si>
  <si>
    <t>Celkem</t>
  </si>
  <si>
    <t>JU České Budějovice</t>
  </si>
  <si>
    <t>JU Č.B.</t>
  </si>
  <si>
    <t>UJEP Ústí nad Labem</t>
  </si>
  <si>
    <t>UJEP Ústí n.L.</t>
  </si>
  <si>
    <t>MU Brno</t>
  </si>
  <si>
    <t>UP Olomouc</t>
  </si>
  <si>
    <t>VFU Brno</t>
  </si>
  <si>
    <t>OU Ostrava</t>
  </si>
  <si>
    <t>Univerzita Hradec Králové</t>
  </si>
  <si>
    <t>Univerzita Hr. Král.</t>
  </si>
  <si>
    <t>SU Opava</t>
  </si>
  <si>
    <t>ČVUT Praha</t>
  </si>
  <si>
    <t>VŠCHT Praha</t>
  </si>
  <si>
    <t>ZČU Plzeň</t>
  </si>
  <si>
    <t>TU Liberec</t>
  </si>
  <si>
    <t>UPa Pardubice</t>
  </si>
  <si>
    <t>VUT Brno</t>
  </si>
  <si>
    <t>VŠB-TU Ostrava</t>
  </si>
  <si>
    <t>UTB Zlín</t>
  </si>
  <si>
    <t>VŠE Praha</t>
  </si>
  <si>
    <t>ČZU Praha</t>
  </si>
  <si>
    <t>Mendelu Brno</t>
  </si>
  <si>
    <t>VŠ polytech. Jihlava</t>
  </si>
  <si>
    <t>VŠP Jihlava</t>
  </si>
  <si>
    <t>VŠTE Č. Budějovice</t>
  </si>
  <si>
    <t>VŠTE Č. B.</t>
  </si>
  <si>
    <t>Souhrn</t>
  </si>
  <si>
    <t>Celkem počet norm. stud.</t>
  </si>
  <si>
    <t>Základní normativ (Kč)</t>
  </si>
  <si>
    <t>A  (tis. Kč) =</t>
  </si>
  <si>
    <t>Celková výpočtová částka před zaokrouhlením (tis. Kč)</t>
  </si>
  <si>
    <t>Umělecké VVŠ</t>
  </si>
  <si>
    <t>Každá z těchto VVŠ je přepočteným počtem studentů uvnitř intervalu +- 10% limitu, proto se každé z nich započte limit.</t>
  </si>
  <si>
    <t>AMU Praha</t>
  </si>
  <si>
    <t>AVU Praha</t>
  </si>
  <si>
    <t>VŠUP v Praze</t>
  </si>
  <si>
    <t>JAMU Brno</t>
  </si>
  <si>
    <t>Základní normativ</t>
  </si>
  <si>
    <t>Celková výpočtová částka před zaokrouhlením</t>
  </si>
  <si>
    <t>Všechny VVŠ</t>
  </si>
  <si>
    <t>Souhrnné údaje</t>
  </si>
  <si>
    <t>Rozdělení částky pro umělecké a neumělecké VVŠ</t>
  </si>
  <si>
    <t>Přepočtený počet studentů (včetně zubařů)</t>
  </si>
  <si>
    <t>Přepočtený počet - zubařů (stud.progr.M5104, M5111 a 5155)</t>
  </si>
  <si>
    <t>Částka pro A = 77,5% z A+K</t>
  </si>
  <si>
    <t>Přepočtený počet studentů uměleckých VVŠ</t>
  </si>
  <si>
    <t>UVVŠ celkem 3,5% z A</t>
  </si>
  <si>
    <t>Počet přepočtených studentů zahrnutých do výpočtu</t>
  </si>
  <si>
    <t>Neumělecké VVŠ</t>
  </si>
  <si>
    <t>Meziroční nárůst přepočtených studentů zahrnutých do výpočtu</t>
  </si>
  <si>
    <t>Kontrola</t>
  </si>
  <si>
    <t>Počet normativních studentů</t>
  </si>
  <si>
    <t>Průměrný koeficient ekonomické náročnosti (vč. uměleckých VVŠ)</t>
  </si>
  <si>
    <t>Limity celkem</t>
  </si>
  <si>
    <t>Ukazatel A</t>
  </si>
  <si>
    <t>Ukazatel K</t>
  </si>
  <si>
    <t>Ukazatel A+K</t>
  </si>
  <si>
    <t>Základní normativ (ukaz. A ku počtu normativních studentů)</t>
  </si>
  <si>
    <t>Průměrný normativ (ukaz. A+K ku počtu normativních studentů)</t>
  </si>
  <si>
    <t>Studijní programy 5104 Stomatologie, 5111 Zubní lékařství a 5155 Stomatologie a zubní lékařství</t>
  </si>
  <si>
    <t>Kód VŠ</t>
  </si>
  <si>
    <t>Kód fakulty</t>
  </si>
  <si>
    <t>Název fakulty</t>
  </si>
  <si>
    <t>Stud. program</t>
  </si>
  <si>
    <t>Koeficient</t>
  </si>
  <si>
    <t>Nově přijatí</t>
  </si>
  <si>
    <t>Zvláštní</t>
  </si>
  <si>
    <t>Ostatní</t>
  </si>
  <si>
    <t>Půlroční</t>
  </si>
  <si>
    <t>Přepočtený počet studentů</t>
  </si>
  <si>
    <t>Normativní počet studentů</t>
  </si>
  <si>
    <t>UK v Praze</t>
  </si>
  <si>
    <t>MU</t>
  </si>
  <si>
    <t>UP v Olomouci</t>
  </si>
  <si>
    <t>tis. Kč</t>
  </si>
  <si>
    <t>Ukazatel A - váha 77,5 %</t>
  </si>
  <si>
    <t>Ukazatel K - 22,5 %</t>
  </si>
  <si>
    <t>VVŠ</t>
  </si>
  <si>
    <t>Ukaz. A</t>
  </si>
  <si>
    <t>% podíl v rámci ukazatele A</t>
  </si>
  <si>
    <t>Ukaz. K</t>
  </si>
  <si>
    <t>% podíl v rámci ukazatele K</t>
  </si>
  <si>
    <t>% podíl z celku</t>
  </si>
  <si>
    <t>Změna podílu VŠ na A</t>
  </si>
  <si>
    <t>Změna podílu VŠ na K</t>
  </si>
  <si>
    <t>Změna podílu VŠ na celku</t>
  </si>
  <si>
    <t>75:25 (1,1,1)</t>
  </si>
  <si>
    <t xml:space="preserve">UK </t>
  </si>
  <si>
    <t>JU</t>
  </si>
  <si>
    <t xml:space="preserve">UJEP </t>
  </si>
  <si>
    <t>UP</t>
  </si>
  <si>
    <t>OU</t>
  </si>
  <si>
    <t>UHK</t>
  </si>
  <si>
    <t>SU</t>
  </si>
  <si>
    <t>ČVUT</t>
  </si>
  <si>
    <t>ZČU</t>
  </si>
  <si>
    <t>TUL</t>
  </si>
  <si>
    <t>UPa</t>
  </si>
  <si>
    <t>VUT v Brně</t>
  </si>
  <si>
    <t>VŠB-TUO</t>
  </si>
  <si>
    <t>UTB ve Zlíně</t>
  </si>
  <si>
    <t>VŠE</t>
  </si>
  <si>
    <t>ČZU v Praze</t>
  </si>
  <si>
    <t>MENDELU</t>
  </si>
  <si>
    <t>AMU v Praze</t>
  </si>
  <si>
    <t>AVU v Praze</t>
  </si>
  <si>
    <t>JAMU</t>
  </si>
  <si>
    <t>VŠTE</t>
  </si>
  <si>
    <t>Bilance zdrojů pro rozdělení příspěvku a dotací vysokým školám v roce 2014</t>
  </si>
  <si>
    <t>Položka</t>
  </si>
  <si>
    <t>Rok 2011</t>
  </si>
  <si>
    <t>Rok 2012</t>
  </si>
  <si>
    <t>Rok 2013</t>
  </si>
  <si>
    <t>Rok 2014</t>
  </si>
  <si>
    <t>meziroční změna</t>
  </si>
  <si>
    <t>Průměrný normativ</t>
  </si>
  <si>
    <t>Výpočtové stipendium v doktorském studiu</t>
  </si>
  <si>
    <t xml:space="preserve">Výpočtové ubytovací stipendium na 1 studenta </t>
  </si>
  <si>
    <t xml:space="preserve">Normativ absolventa </t>
  </si>
  <si>
    <t>x</t>
  </si>
  <si>
    <t>Měsíční sociální stipendium</t>
  </si>
  <si>
    <t>Výpočtová dotace na 1  jídlo</t>
  </si>
  <si>
    <t>Příspěvek *)</t>
  </si>
  <si>
    <t>Dotace *)</t>
  </si>
  <si>
    <t>Název ukazatele / položky</t>
  </si>
  <si>
    <r>
      <t xml:space="preserve">Rozpočet 2011 
</t>
    </r>
    <r>
      <rPr>
        <sz val="11"/>
        <rFont val="Arial"/>
        <family val="2"/>
      </rPr>
      <t>(+ 1000 mil. Kč)</t>
    </r>
  </si>
  <si>
    <t>Rozpočet 2012</t>
  </si>
  <si>
    <r>
      <t xml:space="preserve">% podíl z celku </t>
    </r>
    <r>
      <rPr>
        <i/>
        <sz val="11"/>
        <color indexed="23"/>
        <rFont val="Arial"/>
        <family val="2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</si>
  <si>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</rPr>
      <t>(sl. 3 vs 2)</t>
    </r>
  </si>
  <si>
    <t>Rozpočet 2013</t>
  </si>
  <si>
    <r>
      <t xml:space="preserve">% podíl z celku </t>
    </r>
    <r>
      <rPr>
        <i/>
        <sz val="11"/>
        <color indexed="23"/>
        <rFont val="Arial"/>
        <family val="2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</si>
  <si>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</rPr>
      <t>(sl. 6 vs 3)</t>
    </r>
  </si>
  <si>
    <t>Rozpočet 2014</t>
  </si>
  <si>
    <t>Rozpočtový okruh 1, institucionální část rozpočtu</t>
  </si>
  <si>
    <t>P</t>
  </si>
  <si>
    <t>Ukazatel A+B1 - studijní programy</t>
  </si>
  <si>
    <t xml:space="preserve">Ukazatel B 2 - studijní programy, bonifikace za absolventy B,M,N,P 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</si>
  <si>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</si>
  <si>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</si>
  <si>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</si>
  <si>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</si>
  <si>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</si>
  <si>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</si>
  <si>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</si>
  <si>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</si>
  <si>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</si>
  <si>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</si>
  <si>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</si>
  <si>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</si>
  <si>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</si>
  <si>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</si>
  <si>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v tom</t>
  </si>
  <si>
    <t>Centralizované rozvojové projekty</t>
  </si>
  <si>
    <t>Celkem rozvoj vysokých škol</t>
  </si>
  <si>
    <t>Rozpočtový okruh IV, Mezinárodní spolupráce a ostatní</t>
  </si>
  <si>
    <t>Ukazatel D - mezinárodní spolupráce</t>
  </si>
  <si>
    <t>V tom:</t>
  </si>
  <si>
    <t>AKCION</t>
  </si>
  <si>
    <t>CEEPUS</t>
  </si>
  <si>
    <t>ERASMUS</t>
  </si>
  <si>
    <t>Letní školy slovanských studií</t>
  </si>
  <si>
    <t>Mezivládní dohody (zahraniční studenti)</t>
  </si>
  <si>
    <t>Mezivládní dohody (cestovní náhrady českých pedagogů, studentů)</t>
  </si>
  <si>
    <t>Zahraniční rozvojová pomoc</t>
  </si>
  <si>
    <t>Krajanský vzdělávací program</t>
  </si>
  <si>
    <t>Ukazatel F - Fond vzdělávací politiky</t>
  </si>
  <si>
    <t>Systémová podpora VŠ</t>
  </si>
  <si>
    <t>Studium studentů se specifickými potřebami</t>
  </si>
  <si>
    <t>Univerzita třetího věku (U3V)</t>
  </si>
  <si>
    <t>Registr uměleckých výstupů (RUV)</t>
  </si>
  <si>
    <t>Podpora pedagogických fakult</t>
  </si>
  <si>
    <t>Soukromé VŠ</t>
  </si>
  <si>
    <t>Univerzita obrany</t>
  </si>
  <si>
    <t>další</t>
  </si>
  <si>
    <t>Mimořádné aktivity a ostatní</t>
  </si>
  <si>
    <t>Celkem Mezinárodní spolupráce a ostatní</t>
  </si>
  <si>
    <r>
      <t xml:space="preserve">Celkem příspěvek + dotace </t>
    </r>
  </si>
  <si>
    <t>Prostředky přidělené sekci 4 pro účely spolufinancování programu VaVpI</t>
  </si>
  <si>
    <t>Ukazatel rozpočtu vysokých škol</t>
  </si>
  <si>
    <t>Rozdíl</t>
  </si>
  <si>
    <t>*) V některých ukazatelích může být poskytnut příspěvek nebo dotace v závislosti na účelu, na který se poskytuje.</t>
  </si>
  <si>
    <t xml:space="preserve"> </t>
  </si>
  <si>
    <t>celkový počet vydaných jídel v menzách VŠ</t>
  </si>
  <si>
    <t>dotace</t>
  </si>
  <si>
    <t>teplých</t>
  </si>
  <si>
    <t>studených</t>
  </si>
  <si>
    <t>stud. přepočt.</t>
  </si>
  <si>
    <t>celkem tep. + st. přep.</t>
  </si>
  <si>
    <t>v tis. Kč</t>
  </si>
  <si>
    <t>UK</t>
  </si>
  <si>
    <t>UJEP</t>
  </si>
  <si>
    <t>UPOL</t>
  </si>
  <si>
    <t>VFU</t>
  </si>
  <si>
    <t>VŠCHT</t>
  </si>
  <si>
    <t>ZU</t>
  </si>
  <si>
    <t>UPAR</t>
  </si>
  <si>
    <t>VUT</t>
  </si>
  <si>
    <t>TUO</t>
  </si>
  <si>
    <t>UTB</t>
  </si>
  <si>
    <t>ČZU</t>
  </si>
  <si>
    <t>AMU</t>
  </si>
  <si>
    <t>AVU</t>
  </si>
  <si>
    <t>VŠUP</t>
  </si>
  <si>
    <t>VŠPJ</t>
  </si>
  <si>
    <t>Normativ na jedno hlavní jídlo (v Kč)</t>
  </si>
  <si>
    <t>Roční příspěvek na stravování (v tis. Kč)</t>
  </si>
  <si>
    <t>Výpočtová částka před zaokrouhlením (Kč)</t>
  </si>
  <si>
    <t>Výstup ze SIMS podle stavu k 31. 10. 2013</t>
  </si>
  <si>
    <t>Počet stud. v DSPSP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</si>
  <si>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</si>
  <si>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</si>
  <si>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</si>
  <si>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</si>
  <si>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</si>
  <si>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</si>
  <si>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</si>
  <si>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</si>
  <si>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</si>
  <si>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</si>
  <si>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</si>
  <si>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</si>
  <si>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</si>
  <si>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</si>
  <si>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</si>
  <si>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</si>
  <si>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</si>
  <si>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</si>
  <si>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</si>
  <si>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</si>
  <si>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</si>
  <si>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</si>
  <si>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</si>
  <si>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</si>
  <si>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</si>
  <si>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Částka v rozpočtu</t>
  </si>
  <si>
    <t>Rok</t>
  </si>
  <si>
    <t>Jednotková roční výpočtová částka na jedno stipendium činí (Kč)</t>
  </si>
  <si>
    <t>Meziroční změna v roční výpočtové částce na jedno stipendium</t>
  </si>
  <si>
    <t>Počet studentů v DSPSP</t>
  </si>
  <si>
    <t>Meziroční změna v počtu studentů</t>
  </si>
  <si>
    <t>Celková částka podle rozpisu rozpočtu (tis. Kč)</t>
  </si>
  <si>
    <t>Jednotková částka na jednu studentohodinu (Kč)</t>
  </si>
  <si>
    <t>Kód VVŠ</t>
  </si>
  <si>
    <t>Název VVŠ</t>
  </si>
  <si>
    <t>Upravený nárok</t>
  </si>
  <si>
    <t>Příspěvek na U3V    v r. 2014 (tis. Kč)</t>
  </si>
  <si>
    <t>Počet účastníků U3V</t>
  </si>
  <si>
    <t>Počet studento- hodin</t>
  </si>
  <si>
    <t>11000</t>
  </si>
  <si>
    <t>12000</t>
  </si>
  <si>
    <t>13000</t>
  </si>
  <si>
    <t>Univerzita J. E. Purkyně v Ústí nad Labem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</si>
  <si>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</si>
  <si>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</si>
  <si>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</si>
  <si>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</si>
  <si>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</si>
  <si>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</si>
  <si>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</si>
  <si>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</si>
  <si>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Vysoká škola chem.-technologická v Praze</t>
  </si>
  <si>
    <t>23000</t>
  </si>
  <si>
    <t>24000</t>
  </si>
  <si>
    <t>25000</t>
  </si>
  <si>
    <t>26000</t>
  </si>
  <si>
    <t>27000</t>
  </si>
  <si>
    <t>Vysoká škola báňská - TU Ostrava</t>
  </si>
  <si>
    <t>28000</t>
  </si>
  <si>
    <t>31000</t>
  </si>
  <si>
    <t>41000</t>
  </si>
  <si>
    <t>43000</t>
  </si>
  <si>
    <t>51000</t>
  </si>
  <si>
    <t xml:space="preserve"> ---</t>
  </si>
  <si>
    <t>---</t>
  </si>
  <si>
    <t>52000</t>
  </si>
  <si>
    <t>53000</t>
  </si>
  <si>
    <t>54000</t>
  </si>
  <si>
    <t>Janáčkova akademie múz umění v Brně</t>
  </si>
  <si>
    <t>55000</t>
  </si>
  <si>
    <t>56000</t>
  </si>
  <si>
    <t>Vysoká škola techn. a ekonomická v Č. B.</t>
  </si>
  <si>
    <t>Rozvojové programy 2014</t>
  </si>
  <si>
    <t>Institucionální plány 2014 (v tis. Kč)</t>
  </si>
  <si>
    <t>Vysoká škola</t>
  </si>
  <si>
    <t>Vysoká škola technická a ekonomická v Českých Bud.</t>
  </si>
  <si>
    <t>Ukazatel I</t>
  </si>
  <si>
    <t>Výstup SIMS k 31.10.2013</t>
  </si>
  <si>
    <t>Počet nároků VVŠ</t>
  </si>
  <si>
    <t>Počet studentů</t>
  </si>
  <si>
    <t>Počet nároků SVŠ</t>
  </si>
  <si>
    <t>Bankovní institut vysoká škola Praha, a.s.</t>
  </si>
  <si>
    <t>Součet</t>
  </si>
  <si>
    <t>Evropský polytechnický institut, s.r.o.</t>
  </si>
  <si>
    <t xml:space="preserve">Částka určená v rozpočtu </t>
  </si>
  <si>
    <t>Vysoká škola hotelová v Praze 8, spol. s r.o.</t>
  </si>
  <si>
    <t>Částka před zaokrouhlením</t>
  </si>
  <si>
    <t>Vysoká škola finanční a správní, o.p.s.</t>
  </si>
  <si>
    <t>Jednotková sazba</t>
  </si>
  <si>
    <t>Vysoká škola Karlovy Vary, o.p.s.</t>
  </si>
  <si>
    <t>VVŠ (tis. Kč)</t>
  </si>
  <si>
    <t>International ART CAMPUS Prague, s.r.o.</t>
  </si>
  <si>
    <t>SVŠ (tis. Kč)</t>
  </si>
  <si>
    <t>Vysoká škola podnikání, a.s.</t>
  </si>
  <si>
    <t>6A00</t>
  </si>
  <si>
    <t>Vysoká škola aplikovaného práva, s.r.o.</t>
  </si>
  <si>
    <t>6B00</t>
  </si>
  <si>
    <t>Vysoká škola ekonomie a managementu, o.p.s.</t>
  </si>
  <si>
    <t>Veřejné vysoké školy</t>
  </si>
  <si>
    <t>6D00</t>
  </si>
  <si>
    <t>University of New York in Prague, s.r.o.</t>
  </si>
  <si>
    <t>Vysoká škola manažerské informatiky a ekonomiky, a.s.</t>
  </si>
  <si>
    <t>6F00</t>
  </si>
  <si>
    <t>Vysoká škola mezinárodních a veřejných vztahů Praha, o.p.s.</t>
  </si>
  <si>
    <t>6J00</t>
  </si>
  <si>
    <t>Academia Rerum Civilium - Vysoká škola politických a společenských věd, s.r.o.</t>
  </si>
  <si>
    <t>6K00</t>
  </si>
  <si>
    <t>Vysoká škola evropských a regionálních studií, o.p.s.</t>
  </si>
  <si>
    <t>6M00</t>
  </si>
  <si>
    <t>Vysoká škola regionálního rozvoje, s.r.o.</t>
  </si>
  <si>
    <t>6N00</t>
  </si>
  <si>
    <t>Filmová akademie Miroslava Ondříčka v Písku, o.p.s.</t>
  </si>
  <si>
    <t>6P00</t>
  </si>
  <si>
    <t>Vysoká škola tělesné výchovy a sportu Palestra, s.r.o.</t>
  </si>
  <si>
    <t>6Q00</t>
  </si>
  <si>
    <t>Newton College a.s.</t>
  </si>
  <si>
    <t>6R00</t>
  </si>
  <si>
    <t>Vysoká škola logistiky o.p.s.</t>
  </si>
  <si>
    <t>6S00</t>
  </si>
  <si>
    <t>Vysoká škola zdravotnická, o.p.s.</t>
  </si>
  <si>
    <t>Soukromá vysoká škola ekonomických studií, s.r.o.</t>
  </si>
  <si>
    <t>Vysoká škola obchodní v Praze, o.p.s.</t>
  </si>
  <si>
    <t>Akademie STING, o.p.s.</t>
  </si>
  <si>
    <t>Metropolitní univerzita v Praze, o.p.s.</t>
  </si>
  <si>
    <t>Univerzita Jana Amose Komenského Praha s.r.o.</t>
  </si>
  <si>
    <t>Vysoká škola Karla Engliše v Brně, a.s.</t>
  </si>
  <si>
    <t>Anglo-americká vysoká škola, o.p.s.</t>
  </si>
  <si>
    <t>Pražská vysoká škola psychosociálních studií, s.r.o.</t>
  </si>
  <si>
    <t>7A00</t>
  </si>
  <si>
    <t>Západomoravská vysoká škola Třebíč, o.p.s.</t>
  </si>
  <si>
    <t>7B00</t>
  </si>
  <si>
    <t>Soukromá vysoká škola ekonomická Znojmo, s.r.o.</t>
  </si>
  <si>
    <t>7C00</t>
  </si>
  <si>
    <t>Moravská vysoká škola Olomouc, o.p.s.</t>
  </si>
  <si>
    <t>7D00</t>
  </si>
  <si>
    <t>CEVRO Institut, o.p.s.</t>
  </si>
  <si>
    <t>Unicorn College s.r.o.</t>
  </si>
  <si>
    <t>7G00</t>
  </si>
  <si>
    <t>Vysoká škola obchodní a hotelová s.r.o.</t>
  </si>
  <si>
    <t>7J00</t>
  </si>
  <si>
    <t>Vysoká škola sociálně správní, Institut celoživotního vzdělávání Havířov, o.p.s.</t>
  </si>
  <si>
    <t>7L00</t>
  </si>
  <si>
    <t>AKCENT College s.r.o.</t>
  </si>
  <si>
    <t>7N00</t>
  </si>
  <si>
    <t>Vysoká škola aplikované psychologie, s.r.o.</t>
  </si>
  <si>
    <t>7P00</t>
  </si>
  <si>
    <t>ŠKODA AUTO Vysoká škola o.p.s.</t>
  </si>
  <si>
    <r>
      <rPr>
        <b/>
        <sz val="14"/>
        <color indexed="8"/>
        <rFont val="Arial"/>
        <family val="2"/>
      </rPr>
      <t>Rok 2014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(návrh rozpočtu 2013 - institucionální část)</t>
    </r>
  </si>
  <si>
    <t>Ukazatel U1 - veřejné vysoké školy</t>
  </si>
  <si>
    <t>Ukazatel U2 - soukromé vysoké školy</t>
  </si>
  <si>
    <t>Vysoká škola technická a ekonomická v Č. Budějovicích</t>
  </si>
  <si>
    <t>Základní údaje</t>
  </si>
  <si>
    <t xml:space="preserve"> Dotace na ubytování a stravování studentů v roce 2014</t>
  </si>
  <si>
    <t>Ukazatel J</t>
  </si>
  <si>
    <t>Ukazatel U</t>
  </si>
  <si>
    <t>Ubytovací stipendium v roce 2014</t>
  </si>
  <si>
    <t>Kód</t>
  </si>
  <si>
    <t xml:space="preserve">Ukazatel F </t>
  </si>
  <si>
    <t>Podpora financování nákladů souvisejících se vzděláváním seniorů prostřednictvím tzv. Univerzit třetího věku</t>
  </si>
  <si>
    <t>Ukazatel C</t>
  </si>
  <si>
    <t>Stipendia pro doktorandy v roce 2014</t>
  </si>
  <si>
    <t>Orientační limit</t>
  </si>
  <si>
    <r>
      <t>6E00</t>
    </r>
    <r>
      <rPr>
        <sz val="10"/>
        <rFont val="Arial"/>
        <family val="2"/>
      </rPr>
      <t> </t>
    </r>
  </si>
  <si>
    <r>
      <t>7E00</t>
    </r>
    <r>
      <rPr>
        <sz val="10"/>
        <rFont val="Arial"/>
        <family val="2"/>
      </rPr>
      <t> </t>
    </r>
  </si>
  <si>
    <t>Ukazatel K, výpočet na rok 2014</t>
  </si>
  <si>
    <t>Vědecký a umělecký výkon vysoké školy</t>
  </si>
  <si>
    <t>Kvalita studijních programů a uplatnění absolventů</t>
  </si>
  <si>
    <t>Mezinárodní mobilita</t>
  </si>
  <si>
    <t>Podíl na K 
(v%)</t>
  </si>
  <si>
    <t>Podíl na K 
(v tis. Kč)</t>
  </si>
  <si>
    <r>
      <t xml:space="preserve">Započítané body RIV (absolutně) + </t>
    </r>
    <r>
      <rPr>
        <b/>
        <u val="single"/>
        <sz val="8"/>
        <rFont val="Arial"/>
        <family val="2"/>
      </rPr>
      <t>bez komp.</t>
    </r>
    <r>
      <rPr>
        <b/>
        <sz val="8"/>
        <rFont val="Arial"/>
        <family val="2"/>
      </rPr>
      <t xml:space="preserve"> pro uměl. VŠ</t>
    </r>
  </si>
  <si>
    <t>Mezinárodní granty</t>
  </si>
  <si>
    <t>Započítané body RUV</t>
  </si>
  <si>
    <t>Účelové neinvestiční prostředky na výzkum</t>
  </si>
  <si>
    <t>Příjmy z vlastní činnosti VVŠ</t>
  </si>
  <si>
    <t>Vážený počet profesorů a docentů</t>
  </si>
  <si>
    <t>Počet profesorů a docentů</t>
  </si>
  <si>
    <r>
      <t xml:space="preserve">Zaměstnanost absolventů (stand), </t>
    </r>
    <r>
      <rPr>
        <b/>
        <u val="single"/>
        <sz val="8"/>
        <rFont val="Arial"/>
        <family val="2"/>
      </rPr>
      <t>včetně</t>
    </r>
    <r>
      <rPr>
        <b/>
        <sz val="8"/>
        <rFont val="Arial"/>
        <family val="2"/>
      </rPr>
      <t xml:space="preserve"> KEN</t>
    </r>
  </si>
  <si>
    <t>Zaměstnanost absolventů (stand.)</t>
  </si>
  <si>
    <t>Cizinci v příslušném typu studijního programu</t>
  </si>
  <si>
    <t>„Samoplátci“ v příslušném typu studijního programu</t>
  </si>
  <si>
    <t>Vyslaní v rámci mobilitních programů 
(včetně ECTS a DS)</t>
  </si>
  <si>
    <t>Přijatí v rámci mobilitních programů 
(včetně ECTS a DS)</t>
  </si>
  <si>
    <t>Profesoři</t>
  </si>
  <si>
    <t>Docenti</t>
  </si>
  <si>
    <t>Index</t>
  </si>
  <si>
    <t>Bakalářské</t>
  </si>
  <si>
    <t>Magisterské</t>
  </si>
  <si>
    <t>Doktorandi</t>
  </si>
  <si>
    <t>Bakalářském</t>
  </si>
  <si>
    <t>Magisterském</t>
  </si>
  <si>
    <t>Doktorském</t>
  </si>
  <si>
    <t>Váhy parametrů</t>
  </si>
  <si>
    <t>VVŠ celkem</t>
  </si>
  <si>
    <t>2013</t>
  </si>
  <si>
    <t>2011</t>
  </si>
  <si>
    <t>2010</t>
  </si>
  <si>
    <t>Rozdílová tabulka - rok 2014 vs rok 2013</t>
  </si>
  <si>
    <t>Celková částka vyčleněná na studium SSP (tis. Kč)</t>
  </si>
  <si>
    <t>Rozsah vykrytí kalkulovaných zvýšených nákladů (%)</t>
  </si>
  <si>
    <t>Počet studentů    se SP</t>
  </si>
  <si>
    <t>Kalkulované zvýšené náklady (Kč)</t>
  </si>
  <si>
    <t>Janáčkova akademie múz. umění v Brně</t>
  </si>
  <si>
    <t>Ukazatel F</t>
  </si>
  <si>
    <t>Data podle SIMS ke dni 31.10.2013</t>
  </si>
  <si>
    <t>(Nezahrnuje dotace na programy reprodukce majetku. V letech 2011 a 2012 jsou na konci tabulky odečteny prostředky určené na spolufinancovaní projektů 4. PO OP VaVpI.)</t>
  </si>
  <si>
    <t xml:space="preserve">Srovnání institucionální části rozpisu rozpočtu v roce 2013 a v roce 2014 </t>
  </si>
  <si>
    <t xml:space="preserve">Skutečný počet přepočt. studentů k 31. 10. 2013 </t>
  </si>
  <si>
    <t>Dohodnutý podíl jedné VŠ na celku</t>
  </si>
  <si>
    <t>Výsledek projednání - akceptovaný/ dohodnutý počet pro rok 2013 (limit)</t>
  </si>
  <si>
    <t>Ověření odchylky - skut. počet od limitu</t>
  </si>
  <si>
    <t>Institucionální plány (dříve decentralizované)</t>
  </si>
  <si>
    <t>Příspěvek na studium SSP    v r. 2014 
(tis. Kč)</t>
  </si>
  <si>
    <r>
      <rPr>
        <b/>
        <sz val="14"/>
        <color indexed="8"/>
        <rFont val="Arial"/>
        <family val="2"/>
      </rPr>
      <t xml:space="preserve">Rok 2013 </t>
    </r>
    <r>
      <rPr>
        <sz val="10"/>
        <color indexed="8"/>
        <rFont val="Arial"/>
        <family val="2"/>
      </rPr>
      <t>(rozpočet - institucionální část)</t>
    </r>
  </si>
  <si>
    <t>Skutečný počet přepočt. studentů k 31. 10. 2013 bez stud. programů 5104, 5111 a 5155</t>
  </si>
  <si>
    <t>Průměrný koeficient ekonomické náročnosti</t>
  </si>
  <si>
    <t xml:space="preserve">Souhrnný limit pro umělecké VVŠ na rok 2014 je 2740 přepočtených studentů. Skutečnost je 2604,5 přepočtených studentů, což je 95,1 %. </t>
  </si>
  <si>
    <t>Výpočtová částka (tis. Kč) před zaokrouhlením</t>
  </si>
  <si>
    <t>Výsledek projednání - akceptovaný/ dohodnutý počet pro rok 2014 bez stud. programů 5104, 5111 a 5155</t>
  </si>
  <si>
    <r>
      <t xml:space="preserve">Rozdíl
2014-2013
</t>
    </r>
    <r>
      <rPr>
        <sz val="10"/>
        <color indexed="8"/>
        <rFont val="Arial"/>
        <family val="2"/>
      </rPr>
      <t>(v tis. Kč)</t>
    </r>
  </si>
  <si>
    <t>% změna celk. rozpočtu</t>
  </si>
  <si>
    <t>Podpora financování zvýšených nákladů souvisejících se studiem studentů se specifickými potřebami</t>
  </si>
  <si>
    <t xml:space="preserve">C e l k e m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</si>
</sst>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.0%"/>
    <numFmt numFmtId="167" formatCode="0.0"/>
    <numFmt numFmtId="168" formatCode="#,##0.00_ ;[Red]\-#,##0.00\ "/>
    <numFmt numFmtId="169" formatCode="#,##0.000"/>
    <numFmt numFmtId="170" formatCode="#,##0_ ;[Red]\-#,##0\ ;\–\ "/>
    <numFmt numFmtId="171" formatCode="#,##0.0_ ;[Red]\-#,##0.0\ ;\–\ "/>
    <numFmt numFmtId="172" formatCode="0.000"/>
    <numFmt numFmtId="173" formatCode="0.000%"/>
    <numFmt numFmtId="174" formatCode="0.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00"/>
    <numFmt numFmtId="180" formatCode="#,##0.000000"/>
  </numFmts>
  <fonts count="136">
    <font>
      <sz val="10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name val="Times New Roman CE"/>
      <family val="0"/>
    </font>
    <font>
      <b/>
      <sz val="2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1"/>
      <color indexed="2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8"/>
      <name val="Times New Roman"/>
      <family val="1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b/>
      <i/>
      <sz val="11"/>
      <color indexed="23"/>
      <name val="Arial"/>
      <family val="2"/>
    </font>
    <font>
      <i/>
      <sz val="12"/>
      <color indexed="23"/>
      <name val="Arial"/>
      <family val="2"/>
    </font>
    <font>
      <b/>
      <i/>
      <sz val="12"/>
      <color indexed="23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rgb="FF808080"/>
      <name val="Arial"/>
      <family val="2"/>
    </font>
    <font>
      <i/>
      <sz val="11"/>
      <color rgb="FF808080"/>
      <name val="Arial"/>
      <family val="2"/>
    </font>
    <font>
      <i/>
      <sz val="12"/>
      <color rgb="FF808080"/>
      <name val="Arial"/>
      <family val="2"/>
    </font>
    <font>
      <b/>
      <i/>
      <sz val="12"/>
      <color rgb="FF80808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22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DDC"/>
        <bgColor indexed="64"/>
      </patternFill>
    </fill>
  </fills>
  <borders count="2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 style="double">
        <color rgb="FFFF0000"/>
      </left>
      <right style="double">
        <color rgb="FFFF0000"/>
      </right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double">
        <color rgb="FFFF0000"/>
      </left>
      <right style="double">
        <color rgb="FFFF0000"/>
      </right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thin"/>
      <right style="medium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/>
    </border>
    <border>
      <left/>
      <right style="hair"/>
      <top style="thin"/>
      <bottom/>
    </border>
    <border>
      <left/>
      <right style="medium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/>
      <right style="double">
        <color indexed="10"/>
      </right>
      <top style="double"/>
      <bottom style="thin"/>
    </border>
    <border>
      <left style="double">
        <color indexed="10"/>
      </left>
      <right style="thin"/>
      <top style="double"/>
      <bottom style="thin"/>
    </border>
    <border>
      <left style="double"/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>
        <color indexed="10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rgb="FFFF0000"/>
      </left>
      <right style="thin"/>
      <top style="medium"/>
      <bottom style="thin"/>
    </border>
    <border>
      <left style="double">
        <color rgb="FFFF0000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>
        <color rgb="FFFF0000"/>
      </left>
      <right style="double">
        <color rgb="FFFF0000"/>
      </right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double">
        <color rgb="FFFF0000"/>
      </left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/>
      <top style="medium"/>
      <bottom style="medium"/>
    </border>
    <border>
      <left style="double">
        <color rgb="FFFF0000"/>
      </left>
      <right style="double">
        <color rgb="FFFF0000"/>
      </right>
      <top style="thin"/>
      <bottom style="double">
        <color rgb="FFFF0000"/>
      </bottom>
    </border>
    <border>
      <left/>
      <right style="thin"/>
      <top style="thin"/>
      <bottom style="double"/>
    </border>
    <border>
      <left style="double"/>
      <right style="double"/>
      <top style="medium"/>
      <bottom style="thin"/>
    </border>
    <border>
      <left style="double"/>
      <right/>
      <top style="medium"/>
      <bottom style="thin"/>
    </border>
    <border>
      <left style="double">
        <color rgb="FFFF0000"/>
      </left>
      <right style="double">
        <color rgb="FFFF0000"/>
      </right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double"/>
    </border>
    <border>
      <left/>
      <right style="medium"/>
      <top style="medium"/>
      <bottom/>
    </border>
    <border>
      <left style="medium">
        <color theme="9" tint="-0.4999699890613556"/>
      </left>
      <right style="medium">
        <color theme="9" tint="-0.4999699890613556"/>
      </right>
      <top/>
      <bottom style="medium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medium"/>
      <bottom/>
    </border>
    <border>
      <left style="medium">
        <color theme="9" tint="-0.4999699890613556"/>
      </left>
      <right style="medium">
        <color theme="9" tint="-0.4999699890613556"/>
      </right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 style="thin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/>
      <bottom style="thin"/>
    </border>
    <border>
      <left style="medium">
        <color theme="9" tint="-0.4999699890613556"/>
      </left>
      <right style="medium">
        <color theme="9" tint="-0.4999699890613556"/>
      </right>
      <top/>
      <bottom style="thin"/>
    </border>
    <border>
      <left style="medium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>
        <color theme="9" tint="-0.4999699890613556"/>
      </right>
      <top style="thin"/>
      <bottom/>
    </border>
    <border>
      <left style="medium">
        <color theme="9" tint="-0.4999699890613556"/>
      </left>
      <right style="medium">
        <color theme="9" tint="-0.4999699890613556"/>
      </right>
      <top style="thin"/>
      <bottom style="medium">
        <color theme="9" tint="-0.4999699890613556"/>
      </bottom>
    </border>
    <border>
      <left style="double"/>
      <right style="double"/>
      <top style="thin"/>
      <bottom style="medium"/>
    </border>
    <border>
      <left style="double"/>
      <right>
        <color indexed="63"/>
      </right>
      <top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>
        <color indexed="10"/>
      </right>
      <top style="double"/>
      <bottom style="double"/>
    </border>
    <border>
      <left style="double"/>
      <right style="double">
        <color indexed="10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 style="medium"/>
      <bottom style="thin"/>
    </border>
    <border>
      <left style="double"/>
      <right style="double">
        <color rgb="FFFF0000"/>
      </right>
      <top style="medium"/>
      <bottom style="thin"/>
    </border>
    <border>
      <left style="double"/>
      <right style="double">
        <color rgb="FFFF0000"/>
      </right>
      <top style="thin"/>
      <bottom style="thin"/>
    </border>
    <border>
      <left style="double"/>
      <right style="double">
        <color rgb="FFFF0000"/>
      </right>
      <top style="thin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/>
    </border>
    <border>
      <left style="medium"/>
      <right style="medium"/>
      <top style="medium"/>
      <bottom/>
    </border>
    <border>
      <left style="thin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medium"/>
    </border>
    <border>
      <left style="hair"/>
      <right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</borders>
  <cellStyleXfs count="108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8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8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1206">
    <xf numFmtId="0" fontId="0" fillId="0" borderId="0" xfId="0" applyAlignment="1">
      <alignment/>
    </xf>
    <xf numFmtId="0" fontId="2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vertical="center"/>
      <protection/>
    </xf>
    <xf numFmtId="164" fontId="4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46" applyAlignment="1">
      <alignment vertical="center"/>
      <protection/>
    </xf>
    <xf numFmtId="164" fontId="5" fillId="0" borderId="0" xfId="46" applyNumberFormat="1" applyFont="1" applyAlignment="1">
      <alignment horizontal="right" vertical="center"/>
      <protection/>
    </xf>
    <xf numFmtId="0" fontId="5" fillId="0" borderId="0" xfId="46" applyFont="1" applyFill="1" applyBorder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64" fontId="7" fillId="0" borderId="0" xfId="46" applyNumberFormat="1" applyFont="1" applyAlignment="1">
      <alignment vertical="center"/>
      <protection/>
    </xf>
    <xf numFmtId="164" fontId="7" fillId="0" borderId="0" xfId="46" applyNumberFormat="1" applyFont="1" applyAlignment="1">
      <alignment vertical="center" wrapText="1"/>
      <protection/>
    </xf>
    <xf numFmtId="0" fontId="8" fillId="0" borderId="0" xfId="46" applyFont="1" applyAlignment="1">
      <alignment horizontal="center" vertical="center"/>
      <protection/>
    </xf>
    <xf numFmtId="164" fontId="5" fillId="0" borderId="0" xfId="46" applyNumberFormat="1" applyFont="1" applyAlignment="1">
      <alignment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164" fontId="6" fillId="0" borderId="11" xfId="46" applyNumberFormat="1" applyFont="1" applyFill="1" applyBorder="1" applyAlignment="1">
      <alignment horizontal="center" vertical="center" wrapText="1"/>
      <protection/>
    </xf>
    <xf numFmtId="164" fontId="6" fillId="0" borderId="10" xfId="46" applyNumberFormat="1" applyFont="1" applyFill="1" applyBorder="1" applyAlignment="1">
      <alignment horizontal="center" vertical="center" wrapText="1"/>
      <protection/>
    </xf>
    <xf numFmtId="164" fontId="6" fillId="0" borderId="12" xfId="46" applyNumberFormat="1" applyFont="1" applyFill="1" applyBorder="1" applyAlignment="1">
      <alignment horizontal="center" vertical="center" wrapText="1"/>
      <protection/>
    </xf>
    <xf numFmtId="3" fontId="0" fillId="0" borderId="13" xfId="46" applyNumberFormat="1" applyBorder="1" applyAlignment="1">
      <alignment vertical="center"/>
      <protection/>
    </xf>
    <xf numFmtId="0" fontId="0" fillId="0" borderId="14" xfId="46" applyFill="1" applyBorder="1" applyAlignment="1">
      <alignment vertical="center"/>
      <protection/>
    </xf>
    <xf numFmtId="164" fontId="0" fillId="0" borderId="15" xfId="46" applyNumberFormat="1" applyBorder="1" applyAlignment="1">
      <alignment vertical="center"/>
      <protection/>
    </xf>
    <xf numFmtId="3" fontId="0" fillId="0" borderId="16" xfId="46" applyNumberFormat="1" applyBorder="1" applyAlignment="1">
      <alignment vertical="center"/>
      <protection/>
    </xf>
    <xf numFmtId="165" fontId="0" fillId="0" borderId="13" xfId="46" applyNumberFormat="1" applyBorder="1" applyAlignment="1">
      <alignment vertical="center"/>
      <protection/>
    </xf>
    <xf numFmtId="164" fontId="0" fillId="0" borderId="13" xfId="46" applyNumberFormat="1" applyBorder="1" applyAlignment="1">
      <alignment vertical="center"/>
      <protection/>
    </xf>
    <xf numFmtId="164" fontId="0" fillId="0" borderId="17" xfId="46" applyNumberFormat="1" applyBorder="1" applyAlignment="1">
      <alignment vertical="center"/>
      <protection/>
    </xf>
    <xf numFmtId="3" fontId="0" fillId="0" borderId="18" xfId="46" applyNumberFormat="1" applyFill="1" applyBorder="1" applyAlignment="1">
      <alignment vertical="center"/>
      <protection/>
    </xf>
    <xf numFmtId="0" fontId="9" fillId="0" borderId="19" xfId="46" applyFont="1" applyFill="1" applyBorder="1" applyAlignment="1">
      <alignment vertical="center"/>
      <protection/>
    </xf>
    <xf numFmtId="0" fontId="0" fillId="0" borderId="20" xfId="46" applyFont="1" applyFill="1" applyBorder="1" applyAlignment="1">
      <alignment vertical="center"/>
      <protection/>
    </xf>
    <xf numFmtId="164" fontId="0" fillId="0" borderId="15" xfId="46" applyNumberFormat="1" applyFill="1" applyBorder="1" applyAlignment="1">
      <alignment vertical="center"/>
      <protection/>
    </xf>
    <xf numFmtId="4" fontId="0" fillId="0" borderId="13" xfId="46" applyNumberFormat="1" applyBorder="1" applyAlignment="1">
      <alignment vertical="center"/>
      <protection/>
    </xf>
    <xf numFmtId="165" fontId="0" fillId="0" borderId="13" xfId="46" applyNumberFormat="1" applyFill="1" applyBorder="1" applyAlignment="1">
      <alignment vertical="center"/>
      <protection/>
    </xf>
    <xf numFmtId="0" fontId="0" fillId="0" borderId="20" xfId="46" applyFill="1" applyBorder="1" applyAlignment="1">
      <alignment vertical="center"/>
      <protection/>
    </xf>
    <xf numFmtId="0" fontId="6" fillId="33" borderId="21" xfId="46" applyFont="1" applyFill="1" applyBorder="1" applyAlignment="1">
      <alignment vertical="center"/>
      <protection/>
    </xf>
    <xf numFmtId="0" fontId="6" fillId="33" borderId="22" xfId="46" applyFont="1" applyFill="1" applyBorder="1" applyAlignment="1">
      <alignment vertical="center"/>
      <protection/>
    </xf>
    <xf numFmtId="0" fontId="9" fillId="0" borderId="13" xfId="46" applyFont="1" applyFill="1" applyBorder="1" applyAlignment="1">
      <alignment vertical="center"/>
      <protection/>
    </xf>
    <xf numFmtId="0" fontId="0" fillId="0" borderId="23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vertical="center"/>
      <protection/>
    </xf>
    <xf numFmtId="0" fontId="0" fillId="0" borderId="19" xfId="46" applyFont="1" applyFill="1" applyBorder="1" applyAlignment="1">
      <alignment vertical="center"/>
      <protection/>
    </xf>
    <xf numFmtId="0" fontId="6" fillId="34" borderId="24" xfId="46" applyFont="1" applyFill="1" applyBorder="1" applyAlignment="1">
      <alignment vertical="center"/>
      <protection/>
    </xf>
    <xf numFmtId="0" fontId="6" fillId="34" borderId="25" xfId="46" applyFont="1" applyFill="1" applyBorder="1" applyAlignment="1">
      <alignment vertical="center"/>
      <protection/>
    </xf>
    <xf numFmtId="164" fontId="0" fillId="34" borderId="26" xfId="46" applyNumberFormat="1" applyFill="1" applyBorder="1" applyAlignment="1">
      <alignment vertical="center"/>
      <protection/>
    </xf>
    <xf numFmtId="164" fontId="0" fillId="34" borderId="27" xfId="46" applyNumberFormat="1" applyFill="1" applyBorder="1" applyAlignment="1">
      <alignment vertical="center"/>
      <protection/>
    </xf>
    <xf numFmtId="164" fontId="0" fillId="34" borderId="28" xfId="46" applyNumberFormat="1" applyFill="1" applyBorder="1" applyAlignment="1">
      <alignment vertical="center"/>
      <protection/>
    </xf>
    <xf numFmtId="164" fontId="0" fillId="34" borderId="29" xfId="46" applyNumberFormat="1" applyFill="1" applyBorder="1" applyAlignment="1">
      <alignment vertical="center"/>
      <protection/>
    </xf>
    <xf numFmtId="164" fontId="0" fillId="34" borderId="30" xfId="46" applyNumberFormat="1" applyFill="1" applyBorder="1" applyAlignment="1">
      <alignment vertical="center"/>
      <protection/>
    </xf>
    <xf numFmtId="0" fontId="6" fillId="34" borderId="31" xfId="46" applyFont="1" applyFill="1" applyBorder="1" applyAlignment="1">
      <alignment vertical="center"/>
      <protection/>
    </xf>
    <xf numFmtId="0" fontId="6" fillId="34" borderId="14" xfId="46" applyFont="1" applyFill="1" applyBorder="1" applyAlignment="1">
      <alignment vertical="center"/>
      <protection/>
    </xf>
    <xf numFmtId="164" fontId="0" fillId="34" borderId="15" xfId="46" applyNumberFormat="1" applyFill="1" applyBorder="1" applyAlignment="1">
      <alignment vertical="center"/>
      <protection/>
    </xf>
    <xf numFmtId="164" fontId="0" fillId="34" borderId="32" xfId="46" applyNumberFormat="1" applyFill="1" applyBorder="1" applyAlignment="1">
      <alignment vertical="center"/>
      <protection/>
    </xf>
    <xf numFmtId="164" fontId="0" fillId="34" borderId="17" xfId="46" applyNumberFormat="1" applyFill="1" applyBorder="1" applyAlignment="1">
      <alignment vertical="center"/>
      <protection/>
    </xf>
    <xf numFmtId="164" fontId="0" fillId="34" borderId="13" xfId="46" applyNumberFormat="1" applyFill="1" applyBorder="1" applyAlignment="1">
      <alignment vertical="center"/>
      <protection/>
    </xf>
    <xf numFmtId="164" fontId="0" fillId="34" borderId="33" xfId="46" applyNumberFormat="1" applyFill="1" applyBorder="1" applyAlignment="1">
      <alignment vertical="center"/>
      <protection/>
    </xf>
    <xf numFmtId="0" fontId="6" fillId="34" borderId="34" xfId="46" applyFont="1" applyFill="1" applyBorder="1" applyAlignment="1">
      <alignment vertical="center"/>
      <protection/>
    </xf>
    <xf numFmtId="0" fontId="6" fillId="34" borderId="35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7" xfId="46" applyFont="1" applyFill="1" applyBorder="1" applyAlignment="1">
      <alignment vertical="center"/>
      <protection/>
    </xf>
    <xf numFmtId="0" fontId="0" fillId="0" borderId="16" xfId="46" applyFont="1" applyFill="1" applyBorder="1" applyAlignment="1">
      <alignment vertical="center"/>
      <protection/>
    </xf>
    <xf numFmtId="3" fontId="0" fillId="0" borderId="13" xfId="46" applyNumberFormat="1" applyFont="1" applyFill="1" applyBorder="1" applyAlignment="1">
      <alignment vertical="center"/>
      <protection/>
    </xf>
    <xf numFmtId="0" fontId="0" fillId="35" borderId="17" xfId="46" applyFont="1" applyFill="1" applyBorder="1" applyAlignment="1">
      <alignment vertical="center"/>
      <protection/>
    </xf>
    <xf numFmtId="0" fontId="0" fillId="35" borderId="16" xfId="46" applyFont="1" applyFill="1" applyBorder="1" applyAlignment="1">
      <alignment vertical="center"/>
      <protection/>
    </xf>
    <xf numFmtId="0" fontId="10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0" fillId="0" borderId="36" xfId="46" applyFill="1" applyBorder="1" applyAlignment="1">
      <alignment vertical="center"/>
      <protection/>
    </xf>
    <xf numFmtId="0" fontId="0" fillId="0" borderId="11" xfId="46" applyFill="1" applyBorder="1" applyAlignment="1">
      <alignment vertical="center"/>
      <protection/>
    </xf>
    <xf numFmtId="164" fontId="0" fillId="0" borderId="37" xfId="46" applyNumberFormat="1" applyBorder="1" applyAlignment="1">
      <alignment vertical="center"/>
      <protection/>
    </xf>
    <xf numFmtId="164" fontId="0" fillId="0" borderId="38" xfId="46" applyNumberFormat="1" applyBorder="1" applyAlignment="1">
      <alignment vertical="center"/>
      <protection/>
    </xf>
    <xf numFmtId="164" fontId="0" fillId="0" borderId="39" xfId="46" applyNumberFormat="1" applyBorder="1" applyAlignment="1">
      <alignment vertical="center"/>
      <protection/>
    </xf>
    <xf numFmtId="3" fontId="0" fillId="0" borderId="40" xfId="46" applyNumberFormat="1" applyBorder="1" applyAlignment="1">
      <alignment vertical="center"/>
      <protection/>
    </xf>
    <xf numFmtId="165" fontId="0" fillId="0" borderId="10" xfId="46" applyNumberFormat="1" applyBorder="1" applyAlignment="1">
      <alignment vertical="center"/>
      <protection/>
    </xf>
    <xf numFmtId="3" fontId="0" fillId="0" borderId="10" xfId="46" applyNumberFormat="1" applyBorder="1" applyAlignment="1">
      <alignment vertical="center"/>
      <protection/>
    </xf>
    <xf numFmtId="164" fontId="0" fillId="0" borderId="10" xfId="46" applyNumberFormat="1" applyBorder="1" applyAlignment="1">
      <alignment vertical="center"/>
      <protection/>
    </xf>
    <xf numFmtId="164" fontId="0" fillId="0" borderId="41" xfId="46" applyNumberFormat="1" applyBorder="1" applyAlignment="1">
      <alignment vertical="center"/>
      <protection/>
    </xf>
    <xf numFmtId="3" fontId="0" fillId="0" borderId="40" xfId="46" applyNumberFormat="1" applyFill="1" applyBorder="1" applyAlignment="1">
      <alignment vertical="center"/>
      <protection/>
    </xf>
    <xf numFmtId="3" fontId="0" fillId="0" borderId="42" xfId="46" applyNumberFormat="1" applyFill="1" applyBorder="1" applyAlignment="1">
      <alignment vertical="center"/>
      <protection/>
    </xf>
    <xf numFmtId="0" fontId="0" fillId="0" borderId="31" xfId="46" applyFill="1" applyBorder="1" applyAlignment="1">
      <alignment vertical="center"/>
      <protection/>
    </xf>
    <xf numFmtId="164" fontId="0" fillId="0" borderId="43" xfId="46" applyNumberFormat="1" applyBorder="1" applyAlignment="1">
      <alignment vertical="center"/>
      <protection/>
    </xf>
    <xf numFmtId="164" fontId="0" fillId="0" borderId="32" xfId="46" applyNumberFormat="1" applyBorder="1" applyAlignment="1">
      <alignment vertical="center"/>
      <protection/>
    </xf>
    <xf numFmtId="3" fontId="0" fillId="0" borderId="16" xfId="46" applyNumberFormat="1" applyFill="1" applyBorder="1" applyAlignment="1">
      <alignment vertical="center"/>
      <protection/>
    </xf>
    <xf numFmtId="0" fontId="9" fillId="0" borderId="44" xfId="46" applyFont="1" applyFill="1" applyBorder="1" applyAlignment="1">
      <alignment vertical="center"/>
      <protection/>
    </xf>
    <xf numFmtId="164" fontId="0" fillId="0" borderId="43" xfId="46" applyNumberFormat="1" applyFill="1" applyBorder="1" applyAlignment="1">
      <alignment vertical="center"/>
      <protection/>
    </xf>
    <xf numFmtId="4" fontId="0" fillId="0" borderId="16" xfId="46" applyNumberFormat="1" applyFill="1" applyBorder="1" applyAlignment="1">
      <alignment vertical="center"/>
      <protection/>
    </xf>
    <xf numFmtId="4" fontId="0" fillId="0" borderId="32" xfId="46" applyNumberFormat="1" applyBorder="1" applyAlignment="1">
      <alignment vertical="center"/>
      <protection/>
    </xf>
    <xf numFmtId="0" fontId="0" fillId="0" borderId="44" xfId="46" applyFill="1" applyBorder="1" applyAlignment="1">
      <alignment vertical="center"/>
      <protection/>
    </xf>
    <xf numFmtId="0" fontId="6" fillId="33" borderId="45" xfId="46" applyFont="1" applyFill="1" applyBorder="1" applyAlignment="1">
      <alignment vertical="center"/>
      <protection/>
    </xf>
    <xf numFmtId="0" fontId="0" fillId="0" borderId="24" xfId="46" applyFill="1" applyBorder="1" applyAlignment="1">
      <alignment vertical="center"/>
      <protection/>
    </xf>
    <xf numFmtId="164" fontId="0" fillId="34" borderId="46" xfId="46" applyNumberFormat="1" applyFill="1" applyBorder="1" applyAlignment="1">
      <alignment vertical="center"/>
      <protection/>
    </xf>
    <xf numFmtId="164" fontId="0" fillId="34" borderId="16" xfId="46" applyNumberFormat="1" applyFill="1" applyBorder="1" applyAlignment="1">
      <alignment vertical="center"/>
      <protection/>
    </xf>
    <xf numFmtId="3" fontId="0" fillId="0" borderId="0" xfId="46" applyNumberFormat="1" applyFont="1" applyAlignment="1">
      <alignment horizontal="right" vertical="center"/>
      <protection/>
    </xf>
    <xf numFmtId="3" fontId="0" fillId="0" borderId="0" xfId="46" applyNumberFormat="1" applyFont="1" applyAlignment="1">
      <alignment horizontal="center" vertical="center"/>
      <protection/>
    </xf>
    <xf numFmtId="0" fontId="6" fillId="34" borderId="47" xfId="46" applyFont="1" applyFill="1" applyBorder="1" applyAlignment="1">
      <alignment vertical="center"/>
      <protection/>
    </xf>
    <xf numFmtId="0" fontId="6" fillId="34" borderId="48" xfId="46" applyFont="1" applyFill="1" applyBorder="1" applyAlignment="1">
      <alignment vertical="center"/>
      <protection/>
    </xf>
    <xf numFmtId="0" fontId="2" fillId="0" borderId="49" xfId="46" applyFont="1" applyFill="1" applyBorder="1" applyAlignment="1">
      <alignment vertical="center"/>
      <protection/>
    </xf>
    <xf numFmtId="3" fontId="0" fillId="0" borderId="50" xfId="46" applyNumberFormat="1" applyFont="1" applyFill="1" applyBorder="1" applyAlignment="1">
      <alignment vertical="center"/>
      <protection/>
    </xf>
    <xf numFmtId="164" fontId="0" fillId="0" borderId="51" xfId="46" applyNumberFormat="1" applyFont="1" applyFill="1" applyBorder="1" applyAlignment="1">
      <alignment vertical="center"/>
      <protection/>
    </xf>
    <xf numFmtId="3" fontId="0" fillId="0" borderId="51" xfId="46" applyNumberFormat="1" applyFont="1" applyFill="1" applyBorder="1" applyAlignment="1">
      <alignment vertical="center"/>
      <protection/>
    </xf>
    <xf numFmtId="10" fontId="0" fillId="0" borderId="51" xfId="46" applyNumberFormat="1" applyFont="1" applyFill="1" applyBorder="1" applyAlignment="1">
      <alignment vertical="center"/>
      <protection/>
    </xf>
    <xf numFmtId="0" fontId="0" fillId="0" borderId="51" xfId="46" applyFont="1" applyFill="1" applyBorder="1" applyAlignment="1">
      <alignment vertical="center"/>
      <protection/>
    </xf>
    <xf numFmtId="4" fontId="0" fillId="0" borderId="52" xfId="46" applyNumberFormat="1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3" fontId="0" fillId="0" borderId="52" xfId="46" applyNumberFormat="1" applyFont="1" applyFill="1" applyBorder="1" applyAlignment="1">
      <alignment vertical="center"/>
      <protection/>
    </xf>
    <xf numFmtId="3" fontId="0" fillId="0" borderId="53" xfId="46" applyNumberFormat="1" applyFont="1" applyFill="1" applyBorder="1" applyAlignment="1">
      <alignment vertical="center"/>
      <protection/>
    </xf>
    <xf numFmtId="3" fontId="0" fillId="0" borderId="54" xfId="46" applyNumberFormat="1" applyFont="1" applyFill="1" applyBorder="1" applyAlignment="1">
      <alignment vertical="center"/>
      <protection/>
    </xf>
    <xf numFmtId="0" fontId="11" fillId="0" borderId="0" xfId="46" applyFont="1" applyAlignment="1">
      <alignment vertical="center"/>
      <protection/>
    </xf>
    <xf numFmtId="3" fontId="6" fillId="0" borderId="0" xfId="46" applyNumberFormat="1" applyFont="1" applyFill="1" applyAlignment="1">
      <alignment vertical="center"/>
      <protection/>
    </xf>
    <xf numFmtId="0" fontId="6" fillId="36" borderId="28" xfId="46" applyFont="1" applyFill="1" applyBorder="1" applyAlignment="1">
      <alignment vertical="center" wrapText="1"/>
      <protection/>
    </xf>
    <xf numFmtId="2" fontId="6" fillId="36" borderId="28" xfId="46" applyNumberFormat="1" applyFont="1" applyFill="1" applyBorder="1" applyAlignment="1">
      <alignment vertical="center" wrapText="1"/>
      <protection/>
    </xf>
    <xf numFmtId="3" fontId="6" fillId="36" borderId="28" xfId="46" applyNumberFormat="1" applyFont="1" applyFill="1" applyBorder="1" applyAlignment="1">
      <alignment vertical="center" wrapText="1"/>
      <protection/>
    </xf>
    <xf numFmtId="4" fontId="6" fillId="36" borderId="28" xfId="46" applyNumberFormat="1" applyFont="1" applyFill="1" applyBorder="1" applyAlignment="1">
      <alignment vertical="center" wrapText="1"/>
      <protection/>
    </xf>
    <xf numFmtId="0" fontId="6" fillId="0" borderId="0" xfId="46" applyFont="1" applyFill="1" applyBorder="1" applyAlignment="1">
      <alignment vertical="center"/>
      <protection/>
    </xf>
    <xf numFmtId="2" fontId="6" fillId="0" borderId="0" xfId="46" applyNumberFormat="1" applyFont="1" applyFill="1" applyBorder="1" applyAlignment="1">
      <alignment vertical="center"/>
      <protection/>
    </xf>
    <xf numFmtId="3" fontId="6" fillId="0" borderId="0" xfId="46" applyNumberFormat="1" applyFont="1" applyFill="1" applyBorder="1" applyAlignment="1">
      <alignment vertical="center"/>
      <protection/>
    </xf>
    <xf numFmtId="4" fontId="6" fillId="0" borderId="0" xfId="46" applyNumberFormat="1" applyFont="1" applyFill="1" applyBorder="1" applyAlignment="1">
      <alignment vertical="center"/>
      <protection/>
    </xf>
    <xf numFmtId="0" fontId="6" fillId="37" borderId="0" xfId="46" applyFont="1" applyFill="1" applyAlignment="1">
      <alignment vertical="center"/>
      <protection/>
    </xf>
    <xf numFmtId="3" fontId="6" fillId="37" borderId="0" xfId="46" applyNumberFormat="1" applyFont="1" applyFill="1" applyAlignment="1">
      <alignment vertical="center"/>
      <protection/>
    </xf>
    <xf numFmtId="2" fontId="6" fillId="37" borderId="0" xfId="46" applyNumberFormat="1" applyFont="1" applyFill="1" applyAlignment="1">
      <alignment vertical="center"/>
      <protection/>
    </xf>
    <xf numFmtId="4" fontId="6" fillId="37" borderId="0" xfId="46" applyNumberFormat="1" applyFont="1" applyFill="1" applyAlignment="1">
      <alignment vertical="center"/>
      <protection/>
    </xf>
    <xf numFmtId="0" fontId="6" fillId="37" borderId="14" xfId="46" applyFont="1" applyFill="1" applyBorder="1" applyAlignment="1">
      <alignment vertical="center"/>
      <protection/>
    </xf>
    <xf numFmtId="0" fontId="6" fillId="37" borderId="17" xfId="46" applyFont="1" applyFill="1" applyBorder="1" applyAlignment="1">
      <alignment vertical="center"/>
      <protection/>
    </xf>
    <xf numFmtId="2" fontId="6" fillId="37" borderId="17" xfId="46" applyNumberFormat="1" applyFont="1" applyFill="1" applyBorder="1" applyAlignment="1">
      <alignment vertical="center"/>
      <protection/>
    </xf>
    <xf numFmtId="3" fontId="6" fillId="37" borderId="17" xfId="46" applyNumberFormat="1" applyFont="1" applyFill="1" applyBorder="1" applyAlignment="1">
      <alignment vertical="center"/>
      <protection/>
    </xf>
    <xf numFmtId="4" fontId="6" fillId="37" borderId="17" xfId="46" applyNumberFormat="1" applyFont="1" applyFill="1" applyBorder="1" applyAlignment="1">
      <alignment vertical="center"/>
      <protection/>
    </xf>
    <xf numFmtId="4" fontId="6" fillId="37" borderId="16" xfId="46" applyNumberFormat="1" applyFont="1" applyFill="1" applyBorder="1" applyAlignment="1">
      <alignment vertical="center"/>
      <protection/>
    </xf>
    <xf numFmtId="0" fontId="105" fillId="0" borderId="0" xfId="54" applyFont="1" applyAlignment="1">
      <alignment vertical="center"/>
      <protection/>
    </xf>
    <xf numFmtId="0" fontId="106" fillId="0" borderId="0" xfId="54" applyFont="1" applyAlignment="1">
      <alignment vertical="center"/>
      <protection/>
    </xf>
    <xf numFmtId="0" fontId="88" fillId="0" borderId="0" xfId="50">
      <alignment/>
      <protection/>
    </xf>
    <xf numFmtId="0" fontId="107" fillId="0" borderId="0" xfId="54" applyFont="1" applyAlignment="1">
      <alignment vertical="center"/>
      <protection/>
    </xf>
    <xf numFmtId="3" fontId="106" fillId="0" borderId="0" xfId="54" applyNumberFormat="1" applyFont="1" applyAlignment="1">
      <alignment vertical="center"/>
      <protection/>
    </xf>
    <xf numFmtId="0" fontId="107" fillId="0" borderId="0" xfId="54" applyFont="1" applyFill="1" applyAlignment="1">
      <alignment vertical="center" wrapText="1"/>
      <protection/>
    </xf>
    <xf numFmtId="3" fontId="106" fillId="0" borderId="14" xfId="54" applyNumberFormat="1" applyFont="1" applyBorder="1" applyAlignment="1">
      <alignment vertical="center"/>
      <protection/>
    </xf>
    <xf numFmtId="0" fontId="106" fillId="0" borderId="16" xfId="54" applyFont="1" applyBorder="1" applyAlignment="1">
      <alignment vertical="center"/>
      <protection/>
    </xf>
    <xf numFmtId="0" fontId="106" fillId="0" borderId="20" xfId="54" applyFont="1" applyBorder="1" applyAlignment="1">
      <alignment horizontal="left" vertical="center"/>
      <protection/>
    </xf>
    <xf numFmtId="0" fontId="106" fillId="0" borderId="55" xfId="54" applyFont="1" applyBorder="1" applyAlignment="1">
      <alignment horizontal="left" vertical="center"/>
      <protection/>
    </xf>
    <xf numFmtId="3" fontId="107" fillId="0" borderId="0" xfId="54" applyNumberFormat="1" applyFont="1" applyAlignment="1">
      <alignment vertical="center"/>
      <protection/>
    </xf>
    <xf numFmtId="0" fontId="106" fillId="0" borderId="14" xfId="54" applyFont="1" applyBorder="1" applyAlignment="1">
      <alignment horizontal="left" vertical="center"/>
      <protection/>
    </xf>
    <xf numFmtId="0" fontId="106" fillId="0" borderId="16" xfId="54" applyFont="1" applyBorder="1" applyAlignment="1">
      <alignment horizontal="left" vertical="center"/>
      <protection/>
    </xf>
    <xf numFmtId="10" fontId="106" fillId="0" borderId="0" xfId="54" applyNumberFormat="1" applyFont="1" applyAlignment="1">
      <alignment vertical="center"/>
      <protection/>
    </xf>
    <xf numFmtId="0" fontId="106" fillId="0" borderId="25" xfId="54" applyFont="1" applyBorder="1" applyAlignment="1">
      <alignment horizontal="left" vertical="center"/>
      <protection/>
    </xf>
    <xf numFmtId="0" fontId="106" fillId="0" borderId="56" xfId="54" applyFont="1" applyBorder="1" applyAlignment="1">
      <alignment horizontal="left" vertical="center"/>
      <protection/>
    </xf>
    <xf numFmtId="0" fontId="106" fillId="0" borderId="0" xfId="54" applyFont="1" applyAlignment="1">
      <alignment horizontal="center" vertical="center" wrapText="1"/>
      <protection/>
    </xf>
    <xf numFmtId="0" fontId="106" fillId="0" borderId="0" xfId="54" applyFont="1" applyAlignment="1">
      <alignment vertical="center" wrapText="1"/>
      <protection/>
    </xf>
    <xf numFmtId="3" fontId="0" fillId="0" borderId="57" xfId="63" applyNumberFormat="1" applyFont="1" applyFill="1" applyBorder="1" applyAlignment="1">
      <alignment vertical="center"/>
      <protection/>
    </xf>
    <xf numFmtId="3" fontId="0" fillId="0" borderId="58" xfId="63" applyNumberFormat="1" applyFont="1" applyFill="1" applyBorder="1" applyAlignment="1">
      <alignment vertical="center"/>
      <protection/>
    </xf>
    <xf numFmtId="10" fontId="16" fillId="0" borderId="29" xfId="63" applyNumberFormat="1" applyFont="1" applyFill="1" applyBorder="1" applyAlignment="1">
      <alignment vertical="center"/>
      <protection/>
    </xf>
    <xf numFmtId="3" fontId="106" fillId="0" borderId="29" xfId="54" applyNumberFormat="1" applyFont="1" applyFill="1" applyBorder="1" applyAlignment="1">
      <alignment vertical="center"/>
      <protection/>
    </xf>
    <xf numFmtId="10" fontId="16" fillId="0" borderId="29" xfId="88" applyNumberFormat="1" applyFont="1" applyFill="1" applyBorder="1" applyAlignment="1" applyProtection="1">
      <alignment horizontal="right" vertical="center"/>
      <protection/>
    </xf>
    <xf numFmtId="3" fontId="106" fillId="7" borderId="29" xfId="54" applyNumberFormat="1" applyFont="1" applyFill="1" applyBorder="1" applyAlignment="1">
      <alignment vertical="center"/>
      <protection/>
    </xf>
    <xf numFmtId="10" fontId="16" fillId="0" borderId="50" xfId="63" applyNumberFormat="1" applyFont="1" applyFill="1" applyBorder="1" applyAlignment="1">
      <alignment vertical="center"/>
      <protection/>
    </xf>
    <xf numFmtId="3" fontId="106" fillId="3" borderId="29" xfId="54" applyNumberFormat="1" applyFont="1" applyFill="1" applyBorder="1" applyAlignment="1">
      <alignment vertical="center"/>
      <protection/>
    </xf>
    <xf numFmtId="0" fontId="106" fillId="0" borderId="20" xfId="54" applyFont="1" applyFill="1" applyBorder="1" applyAlignment="1">
      <alignment vertical="center"/>
      <protection/>
    </xf>
    <xf numFmtId="10" fontId="106" fillId="0" borderId="59" xfId="54" applyNumberFormat="1" applyFont="1" applyFill="1" applyBorder="1" applyAlignment="1">
      <alignment vertical="center"/>
      <protection/>
    </xf>
    <xf numFmtId="10" fontId="106" fillId="0" borderId="0" xfId="54" applyNumberFormat="1" applyFont="1" applyFill="1" applyBorder="1" applyAlignment="1">
      <alignment vertical="center"/>
      <protection/>
    </xf>
    <xf numFmtId="3" fontId="106" fillId="0" borderId="0" xfId="54" applyNumberFormat="1" applyFont="1" applyFill="1" applyBorder="1" applyAlignment="1">
      <alignment vertical="center"/>
      <protection/>
    </xf>
    <xf numFmtId="10" fontId="106" fillId="0" borderId="60" xfId="93" applyNumberFormat="1" applyFont="1" applyFill="1" applyBorder="1" applyAlignment="1">
      <alignment vertical="center"/>
    </xf>
    <xf numFmtId="3" fontId="0" fillId="0" borderId="61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vertical="center"/>
      <protection/>
    </xf>
    <xf numFmtId="10" fontId="16" fillId="0" borderId="13" xfId="63" applyNumberFormat="1" applyFont="1" applyFill="1" applyBorder="1" applyAlignment="1">
      <alignment vertical="center"/>
      <protection/>
    </xf>
    <xf numFmtId="3" fontId="106" fillId="0" borderId="13" xfId="54" applyNumberFormat="1" applyFont="1" applyFill="1" applyBorder="1" applyAlignment="1">
      <alignment vertical="center"/>
      <protection/>
    </xf>
    <xf numFmtId="10" fontId="16" fillId="0" borderId="13" xfId="88" applyNumberFormat="1" applyFont="1" applyFill="1" applyBorder="1" applyAlignment="1" applyProtection="1">
      <alignment horizontal="right" vertical="center"/>
      <protection/>
    </xf>
    <xf numFmtId="3" fontId="106" fillId="7" borderId="13" xfId="54" applyNumberFormat="1" applyFont="1" applyFill="1" applyBorder="1" applyAlignment="1">
      <alignment vertical="center"/>
      <protection/>
    </xf>
    <xf numFmtId="10" fontId="16" fillId="0" borderId="51" xfId="63" applyNumberFormat="1" applyFont="1" applyFill="1" applyBorder="1" applyAlignment="1">
      <alignment vertical="center"/>
      <protection/>
    </xf>
    <xf numFmtId="3" fontId="106" fillId="3" borderId="13" xfId="54" applyNumberFormat="1" applyFont="1" applyFill="1" applyBorder="1" applyAlignment="1">
      <alignment vertical="center"/>
      <protection/>
    </xf>
    <xf numFmtId="0" fontId="106" fillId="0" borderId="0" xfId="54" applyFont="1" applyFill="1" applyBorder="1" applyAlignment="1">
      <alignment vertical="center"/>
      <protection/>
    </xf>
    <xf numFmtId="0" fontId="106" fillId="0" borderId="59" xfId="54" applyFont="1" applyFill="1" applyBorder="1" applyAlignment="1">
      <alignment vertical="center"/>
      <protection/>
    </xf>
    <xf numFmtId="3" fontId="0" fillId="0" borderId="63" xfId="63" applyNumberFormat="1" applyFont="1" applyFill="1" applyBorder="1" applyAlignment="1">
      <alignment vertical="center"/>
      <protection/>
    </xf>
    <xf numFmtId="3" fontId="0" fillId="0" borderId="64" xfId="63" applyNumberFormat="1" applyFont="1" applyFill="1" applyBorder="1" applyAlignment="1">
      <alignment vertical="center"/>
      <protection/>
    </xf>
    <xf numFmtId="10" fontId="16" fillId="0" borderId="65" xfId="63" applyNumberFormat="1" applyFont="1" applyFill="1" applyBorder="1" applyAlignment="1">
      <alignment vertical="center"/>
      <protection/>
    </xf>
    <xf numFmtId="3" fontId="106" fillId="0" borderId="65" xfId="54" applyNumberFormat="1" applyFont="1" applyFill="1" applyBorder="1" applyAlignment="1">
      <alignment vertical="center"/>
      <protection/>
    </xf>
    <xf numFmtId="10" fontId="16" fillId="0" borderId="65" xfId="88" applyNumberFormat="1" applyFont="1" applyFill="1" applyBorder="1" applyAlignment="1" applyProtection="1">
      <alignment horizontal="right" vertical="center"/>
      <protection/>
    </xf>
    <xf numFmtId="3" fontId="106" fillId="7" borderId="65" xfId="54" applyNumberFormat="1" applyFont="1" applyFill="1" applyBorder="1" applyAlignment="1">
      <alignment vertical="center"/>
      <protection/>
    </xf>
    <xf numFmtId="10" fontId="16" fillId="0" borderId="54" xfId="63" applyNumberFormat="1" applyFont="1" applyFill="1" applyBorder="1" applyAlignment="1">
      <alignment vertical="center"/>
      <protection/>
    </xf>
    <xf numFmtId="3" fontId="106" fillId="0" borderId="66" xfId="54" applyNumberFormat="1" applyFont="1" applyFill="1" applyBorder="1" applyAlignment="1">
      <alignment vertical="center"/>
      <protection/>
    </xf>
    <xf numFmtId="3" fontId="106" fillId="0" borderId="67" xfId="54" applyNumberFormat="1" applyFont="1" applyFill="1" applyBorder="1" applyAlignment="1">
      <alignment vertical="center"/>
      <protection/>
    </xf>
    <xf numFmtId="3" fontId="16" fillId="0" borderId="68" xfId="54" applyNumberFormat="1" applyFont="1" applyFill="1" applyBorder="1" applyAlignment="1">
      <alignment vertical="center"/>
      <protection/>
    </xf>
    <xf numFmtId="3" fontId="106" fillId="0" borderId="68" xfId="54" applyNumberFormat="1" applyFont="1" applyFill="1" applyBorder="1" applyAlignment="1">
      <alignment vertical="center"/>
      <protection/>
    </xf>
    <xf numFmtId="3" fontId="108" fillId="0" borderId="68" xfId="54" applyNumberFormat="1" applyFont="1" applyFill="1" applyBorder="1" applyAlignment="1">
      <alignment vertical="center"/>
      <protection/>
    </xf>
    <xf numFmtId="3" fontId="106" fillId="7" borderId="68" xfId="54" applyNumberFormat="1" applyFont="1" applyFill="1" applyBorder="1" applyAlignment="1">
      <alignment vertical="center"/>
      <protection/>
    </xf>
    <xf numFmtId="9" fontId="16" fillId="0" borderId="69" xfId="54" applyNumberFormat="1" applyFont="1" applyFill="1" applyBorder="1" applyAlignment="1">
      <alignment vertical="center"/>
      <protection/>
    </xf>
    <xf numFmtId="0" fontId="106" fillId="0" borderId="66" xfId="54" applyFont="1" applyFill="1" applyBorder="1" applyAlignment="1">
      <alignment vertical="center"/>
      <protection/>
    </xf>
    <xf numFmtId="0" fontId="107" fillId="0" borderId="14" xfId="54" applyFont="1" applyFill="1" applyBorder="1" applyAlignment="1">
      <alignment vertical="center"/>
      <protection/>
    </xf>
    <xf numFmtId="3" fontId="107" fillId="0" borderId="14" xfId="54" applyNumberFormat="1" applyFont="1" applyFill="1" applyBorder="1" applyAlignment="1">
      <alignment vertical="center"/>
      <protection/>
    </xf>
    <xf numFmtId="3" fontId="107" fillId="0" borderId="17" xfId="54" applyNumberFormat="1" applyFont="1" applyFill="1" applyBorder="1" applyAlignment="1">
      <alignment vertical="center"/>
      <protection/>
    </xf>
    <xf numFmtId="10" fontId="107" fillId="0" borderId="16" xfId="93" applyNumberFormat="1" applyFont="1" applyFill="1" applyBorder="1" applyAlignment="1">
      <alignment vertical="center"/>
    </xf>
    <xf numFmtId="0" fontId="20" fillId="0" borderId="0" xfId="85" applyFont="1" applyFill="1" applyAlignment="1">
      <alignment vertical="center"/>
      <protection/>
    </xf>
    <xf numFmtId="0" fontId="21" fillId="38" borderId="0" xfId="85" applyFont="1" applyFill="1" applyAlignment="1">
      <alignment horizontal="left" vertical="center"/>
      <protection/>
    </xf>
    <xf numFmtId="0" fontId="21" fillId="38" borderId="0" xfId="85" applyFont="1" applyFill="1" applyAlignment="1">
      <alignment vertical="center"/>
      <protection/>
    </xf>
    <xf numFmtId="0" fontId="8" fillId="38" borderId="0" xfId="85" applyFont="1" applyFill="1" applyAlignment="1">
      <alignment vertical="center"/>
      <protection/>
    </xf>
    <xf numFmtId="0" fontId="8" fillId="0" borderId="0" xfId="85" applyFont="1" applyFill="1" applyAlignment="1">
      <alignment vertical="center"/>
      <protection/>
    </xf>
    <xf numFmtId="0" fontId="8" fillId="38" borderId="0" xfId="85" applyFont="1" applyFill="1" applyBorder="1" applyAlignment="1">
      <alignment vertical="center"/>
      <protection/>
    </xf>
    <xf numFmtId="166" fontId="8" fillId="38" borderId="0" xfId="85" applyNumberFormat="1" applyFont="1" applyFill="1" applyBorder="1" applyAlignment="1">
      <alignment horizontal="right" vertical="center"/>
      <protection/>
    </xf>
    <xf numFmtId="166" fontId="8" fillId="38" borderId="0" xfId="85" applyNumberFormat="1" applyFont="1" applyFill="1" applyAlignment="1">
      <alignment vertical="center"/>
      <protection/>
    </xf>
    <xf numFmtId="0" fontId="4" fillId="38" borderId="21" xfId="85" applyFont="1" applyFill="1" applyBorder="1" applyAlignment="1">
      <alignment horizontal="center" vertical="center" wrapText="1"/>
      <protection/>
    </xf>
    <xf numFmtId="0" fontId="4" fillId="38" borderId="22" xfId="85" applyFont="1" applyFill="1" applyBorder="1" applyAlignment="1">
      <alignment horizontal="center" vertical="center" wrapText="1"/>
      <protection/>
    </xf>
    <xf numFmtId="0" fontId="4" fillId="7" borderId="21" xfId="85" applyFont="1" applyFill="1" applyBorder="1" applyAlignment="1">
      <alignment horizontal="center" vertical="center" wrapText="1"/>
      <protection/>
    </xf>
    <xf numFmtId="0" fontId="22" fillId="38" borderId="70" xfId="85" applyFont="1" applyFill="1" applyBorder="1" applyAlignment="1">
      <alignment horizontal="center" vertical="center" wrapText="1"/>
      <protection/>
    </xf>
    <xf numFmtId="0" fontId="4" fillId="38" borderId="71" xfId="85" applyFont="1" applyFill="1" applyBorder="1" applyAlignment="1">
      <alignment horizontal="center" vertical="center" wrapText="1"/>
      <protection/>
    </xf>
    <xf numFmtId="0" fontId="4" fillId="38" borderId="72" xfId="85" applyFont="1" applyFill="1" applyBorder="1" applyAlignment="1">
      <alignment horizontal="center" vertical="center"/>
      <protection/>
    </xf>
    <xf numFmtId="0" fontId="22" fillId="38" borderId="73" xfId="85" applyFont="1" applyFill="1" applyBorder="1" applyAlignment="1">
      <alignment horizontal="center" vertical="center" wrapText="1"/>
      <protection/>
    </xf>
    <xf numFmtId="0" fontId="4" fillId="0" borderId="0" xfId="85" applyFont="1" applyFill="1" applyAlignment="1">
      <alignment vertical="center"/>
      <protection/>
    </xf>
    <xf numFmtId="3" fontId="21" fillId="38" borderId="29" xfId="85" applyNumberFormat="1" applyFont="1" applyFill="1" applyBorder="1" applyAlignment="1">
      <alignment horizontal="center" vertical="center" wrapText="1"/>
      <protection/>
    </xf>
    <xf numFmtId="3" fontId="21" fillId="38" borderId="48" xfId="85" applyNumberFormat="1" applyFont="1" applyFill="1" applyBorder="1" applyAlignment="1">
      <alignment horizontal="center" vertical="center" wrapText="1"/>
      <protection/>
    </xf>
    <xf numFmtId="3" fontId="21" fillId="7" borderId="29" xfId="85" applyNumberFormat="1" applyFont="1" applyFill="1" applyBorder="1" applyAlignment="1">
      <alignment horizontal="center" vertical="center"/>
      <protection/>
    </xf>
    <xf numFmtId="10" fontId="8" fillId="38" borderId="74" xfId="85" applyNumberFormat="1" applyFont="1" applyFill="1" applyBorder="1" applyAlignment="1">
      <alignment horizontal="center" vertical="center"/>
      <protection/>
    </xf>
    <xf numFmtId="3" fontId="21" fillId="38" borderId="48" xfId="85" applyNumberFormat="1" applyFont="1" applyFill="1" applyBorder="1" applyAlignment="1">
      <alignment horizontal="center" vertical="center"/>
      <protection/>
    </xf>
    <xf numFmtId="10" fontId="8" fillId="38" borderId="50" xfId="85" applyNumberFormat="1" applyFont="1" applyFill="1" applyBorder="1" applyAlignment="1">
      <alignment horizontal="center" vertical="center"/>
      <protection/>
    </xf>
    <xf numFmtId="3" fontId="21" fillId="38" borderId="23" xfId="85" applyNumberFormat="1" applyFont="1" applyFill="1" applyBorder="1" applyAlignment="1">
      <alignment horizontal="center" vertical="center" wrapText="1"/>
      <protection/>
    </xf>
    <xf numFmtId="3" fontId="21" fillId="38" borderId="25" xfId="85" applyNumberFormat="1" applyFont="1" applyFill="1" applyBorder="1" applyAlignment="1">
      <alignment horizontal="center" vertical="center" wrapText="1"/>
      <protection/>
    </xf>
    <xf numFmtId="3" fontId="21" fillId="7" borderId="23" xfId="85" applyNumberFormat="1" applyFont="1" applyFill="1" applyBorder="1" applyAlignment="1">
      <alignment horizontal="center" vertical="center"/>
      <protection/>
    </xf>
    <xf numFmtId="10" fontId="8" fillId="38" borderId="51" xfId="85" applyNumberFormat="1" applyFont="1" applyFill="1" applyBorder="1" applyAlignment="1">
      <alignment horizontal="center" vertical="center"/>
      <protection/>
    </xf>
    <xf numFmtId="6" fontId="21" fillId="38" borderId="13" xfId="85" applyNumberFormat="1" applyFont="1" applyFill="1" applyBorder="1" applyAlignment="1">
      <alignment horizontal="center" vertical="center"/>
      <protection/>
    </xf>
    <xf numFmtId="3" fontId="21" fillId="38" borderId="14" xfId="85" applyNumberFormat="1" applyFont="1" applyFill="1" applyBorder="1" applyAlignment="1">
      <alignment horizontal="center" vertical="center"/>
      <protection/>
    </xf>
    <xf numFmtId="3" fontId="21" fillId="38" borderId="65" xfId="85" applyNumberFormat="1" applyFont="1" applyFill="1" applyBorder="1" applyAlignment="1">
      <alignment horizontal="center" vertical="center" wrapText="1"/>
      <protection/>
    </xf>
    <xf numFmtId="3" fontId="21" fillId="38" borderId="75" xfId="85" applyNumberFormat="1" applyFont="1" applyFill="1" applyBorder="1" applyAlignment="1">
      <alignment horizontal="center" vertical="center" wrapText="1"/>
      <protection/>
    </xf>
    <xf numFmtId="3" fontId="21" fillId="7" borderId="65" xfId="85" applyNumberFormat="1" applyFont="1" applyFill="1" applyBorder="1" applyAlignment="1">
      <alignment horizontal="center" vertical="center"/>
      <protection/>
    </xf>
    <xf numFmtId="3" fontId="21" fillId="0" borderId="76" xfId="85" applyNumberFormat="1" applyFont="1" applyFill="1" applyBorder="1" applyAlignment="1">
      <alignment horizontal="center" vertical="center"/>
      <protection/>
    </xf>
    <xf numFmtId="8" fontId="21" fillId="38" borderId="65" xfId="85" applyNumberFormat="1" applyFont="1" applyFill="1" applyBorder="1" applyAlignment="1">
      <alignment horizontal="center" vertical="center"/>
      <protection/>
    </xf>
    <xf numFmtId="4" fontId="21" fillId="38" borderId="75" xfId="85" applyNumberFormat="1" applyFont="1" applyFill="1" applyBorder="1" applyAlignment="1">
      <alignment horizontal="center" vertical="center"/>
      <protection/>
    </xf>
    <xf numFmtId="10" fontId="8" fillId="38" borderId="54" xfId="85" applyNumberFormat="1" applyFont="1" applyFill="1" applyBorder="1" applyAlignment="1">
      <alignment horizontal="center" vertical="center"/>
      <protection/>
    </xf>
    <xf numFmtId="0" fontId="21" fillId="38" borderId="0" xfId="85" applyFont="1" applyFill="1" applyBorder="1" applyAlignment="1">
      <alignment horizontal="left" vertical="center" wrapText="1"/>
      <protection/>
    </xf>
    <xf numFmtId="0" fontId="4" fillId="0" borderId="0" xfId="85" applyFont="1" applyFill="1" applyAlignment="1">
      <alignment horizontal="center" vertical="center" wrapText="1"/>
      <protection/>
    </xf>
    <xf numFmtId="1" fontId="21" fillId="0" borderId="77" xfId="85" applyNumberFormat="1" applyFont="1" applyFill="1" applyBorder="1" applyAlignment="1">
      <alignment horizontal="center" vertical="center"/>
      <protection/>
    </xf>
    <xf numFmtId="1" fontId="21" fillId="0" borderId="21" xfId="85" applyNumberFormat="1" applyFont="1" applyFill="1" applyBorder="1" applyAlignment="1">
      <alignment horizontal="center" vertical="center"/>
      <protection/>
    </xf>
    <xf numFmtId="1" fontId="21" fillId="0" borderId="68" xfId="85" applyNumberFormat="1" applyFont="1" applyFill="1" applyBorder="1" applyAlignment="1">
      <alignment horizontal="center" vertical="center"/>
      <protection/>
    </xf>
    <xf numFmtId="1" fontId="109" fillId="0" borderId="68" xfId="85" applyNumberFormat="1" applyFont="1" applyFill="1" applyBorder="1" applyAlignment="1">
      <alignment horizontal="center" vertical="center"/>
      <protection/>
    </xf>
    <xf numFmtId="1" fontId="109" fillId="0" borderId="78" xfId="85" applyNumberFormat="1" applyFont="1" applyFill="1" applyBorder="1" applyAlignment="1">
      <alignment horizontal="center" vertical="center"/>
      <protection/>
    </xf>
    <xf numFmtId="1" fontId="109" fillId="0" borderId="79" xfId="85" applyNumberFormat="1" applyFont="1" applyFill="1" applyBorder="1" applyAlignment="1">
      <alignment horizontal="center" vertical="center"/>
      <protection/>
    </xf>
    <xf numFmtId="1" fontId="109" fillId="0" borderId="69" xfId="85" applyNumberFormat="1" applyFont="1" applyFill="1" applyBorder="1" applyAlignment="1">
      <alignment horizontal="center" vertical="center"/>
      <protection/>
    </xf>
    <xf numFmtId="1" fontId="4" fillId="0" borderId="0" xfId="85" applyNumberFormat="1" applyFont="1" applyFill="1" applyAlignment="1">
      <alignment horizontal="center" vertical="center"/>
      <protection/>
    </xf>
    <xf numFmtId="0" fontId="23" fillId="38" borderId="80" xfId="85" applyFont="1" applyFill="1" applyBorder="1" applyAlignment="1">
      <alignment vertical="center"/>
      <protection/>
    </xf>
    <xf numFmtId="0" fontId="23" fillId="38" borderId="0" xfId="85" applyFont="1" applyFill="1" applyBorder="1" applyAlignment="1">
      <alignment vertical="center"/>
      <protection/>
    </xf>
    <xf numFmtId="0" fontId="25" fillId="38" borderId="0" xfId="85" applyFont="1" applyFill="1" applyBorder="1" applyAlignment="1">
      <alignment vertical="center"/>
      <protection/>
    </xf>
    <xf numFmtId="3" fontId="23" fillId="38" borderId="0" xfId="85" applyNumberFormat="1" applyFont="1" applyFill="1" applyBorder="1" applyAlignment="1">
      <alignment horizontal="center" vertical="center"/>
      <protection/>
    </xf>
    <xf numFmtId="10" fontId="110" fillId="38" borderId="0" xfId="85" applyNumberFormat="1" applyFont="1" applyFill="1" applyBorder="1" applyAlignment="1">
      <alignment horizontal="center" vertical="center"/>
      <protection/>
    </xf>
    <xf numFmtId="0" fontId="110" fillId="38" borderId="0" xfId="85" applyFont="1" applyFill="1" applyBorder="1" applyAlignment="1">
      <alignment vertical="center"/>
      <protection/>
    </xf>
    <xf numFmtId="0" fontId="110" fillId="38" borderId="81" xfId="85" applyFont="1" applyFill="1" applyBorder="1" applyAlignment="1">
      <alignment vertical="center"/>
      <protection/>
    </xf>
    <xf numFmtId="0" fontId="26" fillId="38" borderId="0" xfId="85" applyFont="1" applyFill="1" applyBorder="1" applyAlignment="1">
      <alignment vertical="center"/>
      <protection/>
    </xf>
    <xf numFmtId="0" fontId="23" fillId="38" borderId="58" xfId="85" applyFont="1" applyFill="1" applyBorder="1" applyAlignment="1">
      <alignment vertical="center"/>
      <protection/>
    </xf>
    <xf numFmtId="0" fontId="23" fillId="38" borderId="29" xfId="85" applyFont="1" applyFill="1" applyBorder="1" applyAlignment="1">
      <alignment vertical="center"/>
      <protection/>
    </xf>
    <xf numFmtId="3" fontId="8" fillId="38" borderId="71" xfId="85" applyNumberFormat="1" applyFont="1" applyFill="1" applyBorder="1" applyAlignment="1">
      <alignment vertical="center"/>
      <protection/>
    </xf>
    <xf numFmtId="166" fontId="110" fillId="38" borderId="71" xfId="85" applyNumberFormat="1" applyFont="1" applyFill="1" applyBorder="1" applyAlignment="1">
      <alignment vertical="center"/>
      <protection/>
    </xf>
    <xf numFmtId="166" fontId="110" fillId="38" borderId="72" xfId="85" applyNumberFormat="1" applyFont="1" applyFill="1" applyBorder="1" applyAlignment="1">
      <alignment vertical="center"/>
      <protection/>
    </xf>
    <xf numFmtId="166" fontId="110" fillId="38" borderId="82" xfId="85" applyNumberFormat="1" applyFont="1" applyFill="1" applyBorder="1" applyAlignment="1">
      <alignment vertical="center"/>
      <protection/>
    </xf>
    <xf numFmtId="166" fontId="110" fillId="38" borderId="73" xfId="85" applyNumberFormat="1" applyFont="1" applyFill="1" applyBorder="1" applyAlignment="1">
      <alignment vertical="center"/>
      <protection/>
    </xf>
    <xf numFmtId="0" fontId="23" fillId="0" borderId="0" xfId="85" applyFont="1" applyFill="1" applyAlignment="1">
      <alignment vertical="center"/>
      <protection/>
    </xf>
    <xf numFmtId="0" fontId="23" fillId="38" borderId="62" xfId="85" applyFont="1" applyFill="1" applyBorder="1" applyAlignment="1">
      <alignment vertical="center"/>
      <protection/>
    </xf>
    <xf numFmtId="0" fontId="23" fillId="38" borderId="13" xfId="85" applyFont="1" applyFill="1" applyBorder="1" applyAlignment="1">
      <alignment vertical="center" wrapText="1"/>
      <protection/>
    </xf>
    <xf numFmtId="3" fontId="8" fillId="38" borderId="13" xfId="85" applyNumberFormat="1" applyFont="1" applyFill="1" applyBorder="1" applyAlignment="1">
      <alignment vertical="center"/>
      <protection/>
    </xf>
    <xf numFmtId="3" fontId="8" fillId="38" borderId="13" xfId="85" applyNumberFormat="1" applyFont="1" applyFill="1" applyBorder="1" applyAlignment="1">
      <alignment horizontal="center" vertical="center"/>
      <protection/>
    </xf>
    <xf numFmtId="166" fontId="110" fillId="38" borderId="13" xfId="85" applyNumberFormat="1" applyFont="1" applyFill="1" applyBorder="1" applyAlignment="1">
      <alignment horizontal="center" vertical="center"/>
      <protection/>
    </xf>
    <xf numFmtId="166" fontId="110" fillId="38" borderId="14" xfId="85" applyNumberFormat="1" applyFont="1" applyFill="1" applyBorder="1" applyAlignment="1">
      <alignment horizontal="center" vertical="center"/>
      <protection/>
    </xf>
    <xf numFmtId="166" fontId="110" fillId="38" borderId="16" xfId="85" applyNumberFormat="1" applyFont="1" applyFill="1" applyBorder="1" applyAlignment="1">
      <alignment horizontal="center" vertical="center"/>
      <protection/>
    </xf>
    <xf numFmtId="166" fontId="110" fillId="38" borderId="51" xfId="85" applyNumberFormat="1" applyFont="1" applyFill="1" applyBorder="1" applyAlignment="1">
      <alignment horizontal="center" vertical="center"/>
      <protection/>
    </xf>
    <xf numFmtId="0" fontId="23" fillId="38" borderId="64" xfId="85" applyFont="1" applyFill="1" applyBorder="1" applyAlignment="1">
      <alignment vertical="center"/>
      <protection/>
    </xf>
    <xf numFmtId="0" fontId="23" fillId="38" borderId="65" xfId="85" applyFont="1" applyFill="1" applyBorder="1" applyAlignment="1">
      <alignment vertical="center" wrapText="1"/>
      <protection/>
    </xf>
    <xf numFmtId="3" fontId="8" fillId="38" borderId="65" xfId="85" applyNumberFormat="1" applyFont="1" applyFill="1" applyBorder="1" applyAlignment="1">
      <alignment vertical="center"/>
      <protection/>
    </xf>
    <xf numFmtId="166" fontId="110" fillId="38" borderId="65" xfId="85" applyNumberFormat="1" applyFont="1" applyFill="1" applyBorder="1" applyAlignment="1">
      <alignment vertical="center"/>
      <protection/>
    </xf>
    <xf numFmtId="166" fontId="110" fillId="38" borderId="75" xfId="85" applyNumberFormat="1" applyFont="1" applyFill="1" applyBorder="1" applyAlignment="1">
      <alignment vertical="center"/>
      <protection/>
    </xf>
    <xf numFmtId="166" fontId="110" fillId="38" borderId="83" xfId="85" applyNumberFormat="1" applyFont="1" applyFill="1" applyBorder="1" applyAlignment="1">
      <alignment vertical="center"/>
      <protection/>
    </xf>
    <xf numFmtId="166" fontId="110" fillId="38" borderId="75" xfId="85" applyNumberFormat="1" applyFont="1" applyFill="1" applyBorder="1" applyAlignment="1">
      <alignment horizontal="right" vertical="center"/>
      <protection/>
    </xf>
    <xf numFmtId="166" fontId="110" fillId="38" borderId="54" xfId="85" applyNumberFormat="1" applyFont="1" applyFill="1" applyBorder="1" applyAlignment="1">
      <alignment horizontal="right" vertical="center"/>
      <protection/>
    </xf>
    <xf numFmtId="0" fontId="27" fillId="38" borderId="67" xfId="85" applyFont="1" applyFill="1" applyBorder="1" applyAlignment="1">
      <alignment vertical="center"/>
      <protection/>
    </xf>
    <xf numFmtId="0" fontId="27" fillId="38" borderId="68" xfId="85" applyFont="1" applyFill="1" applyBorder="1" applyAlignment="1">
      <alignment vertical="center" wrapText="1"/>
      <protection/>
    </xf>
    <xf numFmtId="3" fontId="26" fillId="38" borderId="68" xfId="85" applyNumberFormat="1" applyFont="1" applyFill="1" applyBorder="1" applyAlignment="1">
      <alignment horizontal="right" vertical="center"/>
      <protection/>
    </xf>
    <xf numFmtId="166" fontId="111" fillId="38" borderId="68" xfId="85" applyNumberFormat="1" applyFont="1" applyFill="1" applyBorder="1" applyAlignment="1">
      <alignment horizontal="right" vertical="center"/>
      <protection/>
    </xf>
    <xf numFmtId="166" fontId="111" fillId="38" borderId="78" xfId="85" applyNumberFormat="1" applyFont="1" applyFill="1" applyBorder="1" applyAlignment="1">
      <alignment horizontal="right" vertical="center"/>
      <protection/>
    </xf>
    <xf numFmtId="166" fontId="111" fillId="38" borderId="79" xfId="85" applyNumberFormat="1" applyFont="1" applyFill="1" applyBorder="1" applyAlignment="1">
      <alignment horizontal="right" vertical="center"/>
      <protection/>
    </xf>
    <xf numFmtId="166" fontId="112" fillId="38" borderId="78" xfId="85" applyNumberFormat="1" applyFont="1" applyFill="1" applyBorder="1" applyAlignment="1">
      <alignment horizontal="right" vertical="center"/>
      <protection/>
    </xf>
    <xf numFmtId="166" fontId="112" fillId="38" borderId="69" xfId="85" applyNumberFormat="1" applyFont="1" applyFill="1" applyBorder="1" applyAlignment="1">
      <alignment horizontal="right" vertical="center"/>
      <protection/>
    </xf>
    <xf numFmtId="3" fontId="22" fillId="0" borderId="0" xfId="85" applyNumberFormat="1" applyFont="1" applyFill="1" applyAlignment="1">
      <alignment vertical="center"/>
      <protection/>
    </xf>
    <xf numFmtId="0" fontId="22" fillId="0" borderId="0" xfId="85" applyFont="1" applyFill="1" applyAlignment="1">
      <alignment vertical="center"/>
      <protection/>
    </xf>
    <xf numFmtId="3" fontId="23" fillId="38" borderId="0" xfId="85" applyNumberFormat="1" applyFont="1" applyFill="1" applyBorder="1" applyAlignment="1">
      <alignment horizontal="right" vertical="center"/>
      <protection/>
    </xf>
    <xf numFmtId="0" fontId="110" fillId="38" borderId="0" xfId="46" applyFont="1" applyFill="1" applyBorder="1" applyAlignment="1">
      <alignment horizontal="right"/>
      <protection/>
    </xf>
    <xf numFmtId="167" fontId="110" fillId="38" borderId="0" xfId="85" applyNumberFormat="1" applyFont="1" applyFill="1" applyBorder="1" applyAlignment="1">
      <alignment horizontal="right" vertical="center"/>
      <protection/>
    </xf>
    <xf numFmtId="167" fontId="110" fillId="38" borderId="81" xfId="85" applyNumberFormat="1" applyFont="1" applyFill="1" applyBorder="1" applyAlignment="1">
      <alignment horizontal="right" vertical="center"/>
      <protection/>
    </xf>
    <xf numFmtId="3" fontId="8" fillId="0" borderId="0" xfId="85" applyNumberFormat="1" applyFont="1" applyFill="1" applyAlignment="1">
      <alignment vertical="center"/>
      <protection/>
    </xf>
    <xf numFmtId="166" fontId="110" fillId="38" borderId="0" xfId="85" applyNumberFormat="1" applyFont="1" applyFill="1" applyBorder="1" applyAlignment="1">
      <alignment horizontal="right" vertical="center"/>
      <protection/>
    </xf>
    <xf numFmtId="166" fontId="110" fillId="38" borderId="81" xfId="85" applyNumberFormat="1" applyFont="1" applyFill="1" applyBorder="1" applyAlignment="1">
      <alignment horizontal="right" vertical="center"/>
      <protection/>
    </xf>
    <xf numFmtId="3" fontId="8" fillId="38" borderId="29" xfId="85" applyNumberFormat="1" applyFont="1" applyFill="1" applyBorder="1" applyAlignment="1">
      <alignment horizontal="right" vertical="center"/>
      <protection/>
    </xf>
    <xf numFmtId="166" fontId="110" fillId="38" borderId="29" xfId="85" applyNumberFormat="1" applyFont="1" applyFill="1" applyBorder="1" applyAlignment="1">
      <alignment horizontal="right" vertical="center"/>
      <protection/>
    </xf>
    <xf numFmtId="166" fontId="110" fillId="38" borderId="48" xfId="85" applyNumberFormat="1" applyFont="1" applyFill="1" applyBorder="1" applyAlignment="1">
      <alignment horizontal="right" vertical="center"/>
      <protection/>
    </xf>
    <xf numFmtId="166" fontId="110" fillId="38" borderId="46" xfId="85" applyNumberFormat="1" applyFont="1" applyFill="1" applyBorder="1" applyAlignment="1">
      <alignment horizontal="right" vertical="center"/>
      <protection/>
    </xf>
    <xf numFmtId="166" fontId="110" fillId="38" borderId="84" xfId="85" applyNumberFormat="1" applyFont="1" applyFill="1" applyBorder="1" applyAlignment="1">
      <alignment horizontal="right" vertical="center"/>
      <protection/>
    </xf>
    <xf numFmtId="0" fontId="23" fillId="38" borderId="13" xfId="85" applyFont="1" applyFill="1" applyBorder="1" applyAlignment="1">
      <alignment vertical="center"/>
      <protection/>
    </xf>
    <xf numFmtId="3" fontId="8" fillId="38" borderId="13" xfId="85" applyNumberFormat="1" applyFont="1" applyFill="1" applyBorder="1" applyAlignment="1">
      <alignment horizontal="right" vertical="center"/>
      <protection/>
    </xf>
    <xf numFmtId="166" fontId="110" fillId="38" borderId="13" xfId="85" applyNumberFormat="1" applyFont="1" applyFill="1" applyBorder="1" applyAlignment="1">
      <alignment horizontal="right" vertical="center"/>
      <protection/>
    </xf>
    <xf numFmtId="166" fontId="110" fillId="38" borderId="14" xfId="85" applyNumberFormat="1" applyFont="1" applyFill="1" applyBorder="1" applyAlignment="1">
      <alignment horizontal="right" vertical="center"/>
      <protection/>
    </xf>
    <xf numFmtId="166" fontId="110" fillId="38" borderId="16" xfId="85" applyNumberFormat="1" applyFont="1" applyFill="1" applyBorder="1" applyAlignment="1">
      <alignment horizontal="right" vertical="center"/>
      <protection/>
    </xf>
    <xf numFmtId="166" fontId="110" fillId="38" borderId="52" xfId="85" applyNumberFormat="1" applyFont="1" applyFill="1" applyBorder="1" applyAlignment="1">
      <alignment horizontal="right" vertical="center"/>
      <protection/>
    </xf>
    <xf numFmtId="0" fontId="23" fillId="38" borderId="65" xfId="85" applyFont="1" applyFill="1" applyBorder="1" applyAlignment="1">
      <alignment vertical="center"/>
      <protection/>
    </xf>
    <xf numFmtId="3" fontId="8" fillId="38" borderId="65" xfId="85" applyNumberFormat="1" applyFont="1" applyFill="1" applyBorder="1" applyAlignment="1">
      <alignment horizontal="right" vertical="center"/>
      <protection/>
    </xf>
    <xf numFmtId="166" fontId="110" fillId="38" borderId="65" xfId="85" applyNumberFormat="1" applyFont="1" applyFill="1" applyBorder="1" applyAlignment="1">
      <alignment horizontal="right" vertical="center"/>
      <protection/>
    </xf>
    <xf numFmtId="166" fontId="110" fillId="38" borderId="83" xfId="85" applyNumberFormat="1" applyFont="1" applyFill="1" applyBorder="1" applyAlignment="1">
      <alignment horizontal="right" vertical="center"/>
      <protection/>
    </xf>
    <xf numFmtId="166" fontId="110" fillId="38" borderId="76" xfId="85" applyNumberFormat="1" applyFont="1" applyFill="1" applyBorder="1" applyAlignment="1">
      <alignment horizontal="right" vertical="center"/>
      <protection/>
    </xf>
    <xf numFmtId="166" fontId="110" fillId="38" borderId="50" xfId="85" applyNumberFormat="1" applyFont="1" applyFill="1" applyBorder="1" applyAlignment="1">
      <alignment horizontal="right" vertical="center"/>
      <protection/>
    </xf>
    <xf numFmtId="3" fontId="23" fillId="0" borderId="0" xfId="85" applyNumberFormat="1" applyFont="1" applyFill="1" applyAlignment="1">
      <alignment vertical="center"/>
      <protection/>
    </xf>
    <xf numFmtId="0" fontId="23" fillId="38" borderId="85" xfId="85" applyFont="1" applyFill="1" applyBorder="1" applyAlignment="1">
      <alignment vertical="center"/>
      <protection/>
    </xf>
    <xf numFmtId="0" fontId="23" fillId="38" borderId="19" xfId="85" applyFont="1" applyFill="1" applyBorder="1" applyAlignment="1">
      <alignment vertical="center"/>
      <protection/>
    </xf>
    <xf numFmtId="166" fontId="110" fillId="38" borderId="51" xfId="85" applyNumberFormat="1" applyFont="1" applyFill="1" applyBorder="1" applyAlignment="1">
      <alignment horizontal="right" vertical="center"/>
      <protection/>
    </xf>
    <xf numFmtId="0" fontId="23" fillId="38" borderId="25" xfId="85" applyFont="1" applyFill="1" applyBorder="1" applyAlignment="1">
      <alignment vertical="center"/>
      <protection/>
    </xf>
    <xf numFmtId="3" fontId="23" fillId="38" borderId="23" xfId="85" applyNumberFormat="1" applyFont="1" applyFill="1" applyBorder="1" applyAlignment="1">
      <alignment horizontal="right" vertical="center"/>
      <protection/>
    </xf>
    <xf numFmtId="0" fontId="23" fillId="38" borderId="23" xfId="85" applyFont="1" applyFill="1" applyBorder="1" applyAlignment="1">
      <alignment vertical="center"/>
      <protection/>
    </xf>
    <xf numFmtId="0" fontId="23" fillId="38" borderId="14" xfId="85" applyFont="1" applyFill="1" applyBorder="1" applyAlignment="1">
      <alignment vertical="center"/>
      <protection/>
    </xf>
    <xf numFmtId="0" fontId="23" fillId="38" borderId="17" xfId="85" applyFont="1" applyFill="1" applyBorder="1" applyAlignment="1">
      <alignment vertical="center"/>
      <protection/>
    </xf>
    <xf numFmtId="3" fontId="23" fillId="38" borderId="13" xfId="85" applyNumberFormat="1" applyFont="1" applyFill="1" applyBorder="1" applyAlignment="1">
      <alignment horizontal="right" vertical="center"/>
      <protection/>
    </xf>
    <xf numFmtId="3" fontId="23" fillId="38" borderId="17" xfId="85" applyNumberFormat="1" applyFont="1" applyFill="1" applyBorder="1" applyAlignment="1">
      <alignment horizontal="right" vertical="center"/>
      <protection/>
    </xf>
    <xf numFmtId="0" fontId="23" fillId="38" borderId="57" xfId="85" applyFont="1" applyFill="1" applyBorder="1" applyAlignment="1">
      <alignment vertical="center"/>
      <protection/>
    </xf>
    <xf numFmtId="0" fontId="23" fillId="38" borderId="28" xfId="85" applyFont="1" applyFill="1" applyBorder="1" applyAlignment="1">
      <alignment vertical="center"/>
      <protection/>
    </xf>
    <xf numFmtId="0" fontId="23" fillId="38" borderId="77" xfId="85" applyFont="1" applyFill="1" applyBorder="1" applyAlignment="1">
      <alignment vertical="center"/>
      <protection/>
    </xf>
    <xf numFmtId="0" fontId="23" fillId="38" borderId="22" xfId="85" applyFont="1" applyFill="1" applyBorder="1" applyAlignment="1">
      <alignment vertical="center"/>
      <protection/>
    </xf>
    <xf numFmtId="0" fontId="8" fillId="38" borderId="22" xfId="85" applyFont="1" applyFill="1" applyBorder="1" applyAlignment="1">
      <alignment vertical="center"/>
      <protection/>
    </xf>
    <xf numFmtId="0" fontId="8" fillId="38" borderId="86" xfId="85" applyFont="1" applyFill="1" applyBorder="1" applyAlignment="1">
      <alignment vertical="center"/>
      <protection/>
    </xf>
    <xf numFmtId="3" fontId="8" fillId="38" borderId="21" xfId="85" applyNumberFormat="1" applyFont="1" applyFill="1" applyBorder="1" applyAlignment="1">
      <alignment horizontal="right" vertical="center"/>
      <protection/>
    </xf>
    <xf numFmtId="166" fontId="110" fillId="38" borderId="21" xfId="85" applyNumberFormat="1" applyFont="1" applyFill="1" applyBorder="1" applyAlignment="1">
      <alignment horizontal="right" vertical="center"/>
      <protection/>
    </xf>
    <xf numFmtId="166" fontId="110" fillId="38" borderId="22" xfId="85" applyNumberFormat="1" applyFont="1" applyFill="1" applyBorder="1" applyAlignment="1">
      <alignment horizontal="right" vertical="center"/>
      <protection/>
    </xf>
    <xf numFmtId="166" fontId="110" fillId="38" borderId="87" xfId="85" applyNumberFormat="1" applyFont="1" applyFill="1" applyBorder="1" applyAlignment="1">
      <alignment horizontal="right" vertical="center"/>
      <protection/>
    </xf>
    <xf numFmtId="166" fontId="110" fillId="38" borderId="70" xfId="85" applyNumberFormat="1" applyFont="1" applyFill="1" applyBorder="1" applyAlignment="1">
      <alignment horizontal="right" vertical="center"/>
      <protection/>
    </xf>
    <xf numFmtId="0" fontId="23" fillId="0" borderId="62" xfId="85" applyFont="1" applyFill="1" applyBorder="1" applyAlignment="1">
      <alignment vertical="center"/>
      <protection/>
    </xf>
    <xf numFmtId="0" fontId="23" fillId="0" borderId="29" xfId="85" applyFont="1" applyFill="1" applyBorder="1" applyAlignment="1">
      <alignment vertical="center"/>
      <protection/>
    </xf>
    <xf numFmtId="0" fontId="23" fillId="38" borderId="71" xfId="85" applyFont="1" applyFill="1" applyBorder="1" applyAlignment="1">
      <alignment vertical="center"/>
      <protection/>
    </xf>
    <xf numFmtId="0" fontId="23" fillId="38" borderId="48" xfId="85" applyFont="1" applyFill="1" applyBorder="1" applyAlignment="1">
      <alignment vertical="center"/>
      <protection/>
    </xf>
    <xf numFmtId="0" fontId="23" fillId="38" borderId="88" xfId="85" applyFont="1" applyFill="1" applyBorder="1" applyAlignment="1">
      <alignment vertical="center"/>
      <protection/>
    </xf>
    <xf numFmtId="3" fontId="8" fillId="38" borderId="23" xfId="85" applyNumberFormat="1" applyFont="1" applyFill="1" applyBorder="1" applyAlignment="1">
      <alignment horizontal="right" vertical="center"/>
      <protection/>
    </xf>
    <xf numFmtId="166" fontId="110" fillId="38" borderId="25" xfId="85" applyNumberFormat="1" applyFont="1" applyFill="1" applyBorder="1" applyAlignment="1">
      <alignment horizontal="right" vertical="center"/>
      <protection/>
    </xf>
    <xf numFmtId="166" fontId="110" fillId="38" borderId="74" xfId="85" applyNumberFormat="1" applyFont="1" applyFill="1" applyBorder="1" applyAlignment="1">
      <alignment horizontal="right" vertical="center"/>
      <protection/>
    </xf>
    <xf numFmtId="0" fontId="23" fillId="0" borderId="14" xfId="85" applyFont="1" applyFill="1" applyBorder="1" applyAlignment="1">
      <alignment vertical="center"/>
      <protection/>
    </xf>
    <xf numFmtId="0" fontId="23" fillId="38" borderId="89" xfId="85" applyFont="1" applyFill="1" applyBorder="1" applyAlignment="1">
      <alignment vertical="center"/>
      <protection/>
    </xf>
    <xf numFmtId="3" fontId="8" fillId="38" borderId="17" xfId="85" applyNumberFormat="1" applyFont="1" applyFill="1" applyBorder="1" applyAlignment="1">
      <alignment horizontal="right" vertical="center"/>
      <protection/>
    </xf>
    <xf numFmtId="0" fontId="23" fillId="0" borderId="17" xfId="85" applyFont="1" applyFill="1" applyBorder="1" applyAlignment="1">
      <alignment vertical="center"/>
      <protection/>
    </xf>
    <xf numFmtId="0" fontId="23" fillId="0" borderId="90" xfId="85" applyFont="1" applyFill="1" applyBorder="1" applyAlignment="1">
      <alignment vertical="center"/>
      <protection/>
    </xf>
    <xf numFmtId="0" fontId="23" fillId="0" borderId="85" xfId="85" applyFont="1" applyFill="1" applyBorder="1" applyAlignment="1">
      <alignment vertical="center"/>
      <protection/>
    </xf>
    <xf numFmtId="0" fontId="23" fillId="0" borderId="20" xfId="85" applyFont="1" applyFill="1" applyBorder="1" applyAlignment="1">
      <alignment vertical="center"/>
      <protection/>
    </xf>
    <xf numFmtId="0" fontId="23" fillId="38" borderId="20" xfId="85" applyFont="1" applyFill="1" applyBorder="1" applyAlignment="1">
      <alignment vertical="center"/>
      <protection/>
    </xf>
    <xf numFmtId="0" fontId="23" fillId="38" borderId="91" xfId="85" applyFont="1" applyFill="1" applyBorder="1" applyAlignment="1">
      <alignment vertical="center"/>
      <protection/>
    </xf>
    <xf numFmtId="0" fontId="23" fillId="38" borderId="68" xfId="85" applyFont="1" applyFill="1" applyBorder="1" applyAlignment="1">
      <alignment vertical="center"/>
      <protection/>
    </xf>
    <xf numFmtId="0" fontId="23" fillId="38" borderId="75" xfId="85" applyFont="1" applyFill="1" applyBorder="1" applyAlignment="1">
      <alignment vertical="center"/>
      <protection/>
    </xf>
    <xf numFmtId="3" fontId="8" fillId="38" borderId="19" xfId="85" applyNumberFormat="1" applyFont="1" applyFill="1" applyBorder="1" applyAlignment="1">
      <alignment horizontal="right" vertical="center"/>
      <protection/>
    </xf>
    <xf numFmtId="166" fontId="110" fillId="38" borderId="19" xfId="85" applyNumberFormat="1" applyFont="1" applyFill="1" applyBorder="1" applyAlignment="1">
      <alignment horizontal="right" vertical="center"/>
      <protection/>
    </xf>
    <xf numFmtId="166" fontId="110" fillId="38" borderId="20" xfId="85" applyNumberFormat="1" applyFont="1" applyFill="1" applyBorder="1" applyAlignment="1">
      <alignment horizontal="right" vertical="center"/>
      <protection/>
    </xf>
    <xf numFmtId="166" fontId="110" fillId="38" borderId="55" xfId="85" applyNumberFormat="1" applyFont="1" applyFill="1" applyBorder="1" applyAlignment="1">
      <alignment horizontal="right" vertical="center"/>
      <protection/>
    </xf>
    <xf numFmtId="166" fontId="110" fillId="38" borderId="53" xfId="85" applyNumberFormat="1" applyFont="1" applyFill="1" applyBorder="1" applyAlignment="1">
      <alignment horizontal="right" vertical="center"/>
      <protection/>
    </xf>
    <xf numFmtId="0" fontId="23" fillId="38" borderId="66" xfId="85" applyFont="1" applyFill="1" applyBorder="1" applyAlignment="1">
      <alignment vertical="center"/>
      <protection/>
    </xf>
    <xf numFmtId="0" fontId="23" fillId="38" borderId="86" xfId="85" applyFont="1" applyFill="1" applyBorder="1" applyAlignment="1">
      <alignment vertical="center"/>
      <protection/>
    </xf>
    <xf numFmtId="3" fontId="8" fillId="0" borderId="21" xfId="46" applyNumberFormat="1" applyFont="1" applyFill="1" applyBorder="1" applyAlignment="1">
      <alignment horizontal="right" vertical="center"/>
      <protection/>
    </xf>
    <xf numFmtId="0" fontId="23" fillId="0" borderId="48" xfId="85" applyFont="1" applyFill="1" applyBorder="1" applyAlignment="1">
      <alignment vertical="center"/>
      <protection/>
    </xf>
    <xf numFmtId="0" fontId="23" fillId="0" borderId="92" xfId="85" applyFont="1" applyFill="1" applyBorder="1" applyAlignment="1">
      <alignment vertical="center"/>
      <protection/>
    </xf>
    <xf numFmtId="3" fontId="8" fillId="0" borderId="29" xfId="85" applyNumberFormat="1" applyFont="1" applyFill="1" applyBorder="1" applyAlignment="1">
      <alignment horizontal="right" vertical="center"/>
      <protection/>
    </xf>
    <xf numFmtId="166" fontId="110" fillId="0" borderId="29" xfId="85" applyNumberFormat="1" applyFont="1" applyFill="1" applyBorder="1" applyAlignment="1">
      <alignment horizontal="right" vertical="center"/>
      <protection/>
    </xf>
    <xf numFmtId="166" fontId="110" fillId="0" borderId="48" xfId="85" applyNumberFormat="1" applyFont="1" applyFill="1" applyBorder="1" applyAlignment="1">
      <alignment horizontal="right" vertical="center"/>
      <protection/>
    </xf>
    <xf numFmtId="166" fontId="110" fillId="0" borderId="46" xfId="85" applyNumberFormat="1" applyFont="1" applyFill="1" applyBorder="1" applyAlignment="1">
      <alignment horizontal="right" vertical="center"/>
      <protection/>
    </xf>
    <xf numFmtId="0" fontId="23" fillId="0" borderId="28" xfId="85" applyFont="1" applyFill="1" applyBorder="1" applyAlignment="1">
      <alignment vertical="center"/>
      <protection/>
    </xf>
    <xf numFmtId="3" fontId="8" fillId="0" borderId="13" xfId="85" applyNumberFormat="1" applyFont="1" applyFill="1" applyBorder="1" applyAlignment="1">
      <alignment horizontal="right" vertical="center"/>
      <protection/>
    </xf>
    <xf numFmtId="166" fontId="110" fillId="0" borderId="13" xfId="85" applyNumberFormat="1" applyFont="1" applyFill="1" applyBorder="1" applyAlignment="1">
      <alignment horizontal="right" vertical="center"/>
      <protection/>
    </xf>
    <xf numFmtId="166" fontId="110" fillId="0" borderId="14" xfId="85" applyNumberFormat="1" applyFont="1" applyFill="1" applyBorder="1" applyAlignment="1">
      <alignment horizontal="right" vertical="center"/>
      <protection/>
    </xf>
    <xf numFmtId="166" fontId="110" fillId="0" borderId="16" xfId="85" applyNumberFormat="1" applyFont="1" applyFill="1" applyBorder="1" applyAlignment="1">
      <alignment horizontal="right" vertical="center"/>
      <protection/>
    </xf>
    <xf numFmtId="0" fontId="23" fillId="38" borderId="93" xfId="85" applyFont="1" applyFill="1" applyBorder="1" applyAlignment="1">
      <alignment vertical="center"/>
      <protection/>
    </xf>
    <xf numFmtId="0" fontId="23" fillId="0" borderId="56" xfId="85" applyFont="1" applyFill="1" applyBorder="1" applyAlignment="1">
      <alignment vertical="center"/>
      <protection/>
    </xf>
    <xf numFmtId="3" fontId="8" fillId="0" borderId="23" xfId="85" applyNumberFormat="1" applyFont="1" applyFill="1" applyBorder="1" applyAlignment="1">
      <alignment horizontal="right" vertical="center"/>
      <protection/>
    </xf>
    <xf numFmtId="166" fontId="110" fillId="0" borderId="23" xfId="85" applyNumberFormat="1" applyFont="1" applyFill="1" applyBorder="1" applyAlignment="1">
      <alignment horizontal="right" vertical="center"/>
      <protection/>
    </xf>
    <xf numFmtId="166" fontId="110" fillId="0" borderId="25" xfId="85" applyNumberFormat="1" applyFont="1" applyFill="1" applyBorder="1" applyAlignment="1">
      <alignment horizontal="right" vertical="center"/>
      <protection/>
    </xf>
    <xf numFmtId="166" fontId="110" fillId="0" borderId="56" xfId="85" applyNumberFormat="1" applyFont="1" applyFill="1" applyBorder="1" applyAlignment="1">
      <alignment horizontal="right" vertical="center"/>
      <protection/>
    </xf>
    <xf numFmtId="0" fontId="23" fillId="0" borderId="25" xfId="85" applyFont="1" applyFill="1" applyBorder="1" applyAlignment="1">
      <alignment vertical="center"/>
      <protection/>
    </xf>
    <xf numFmtId="0" fontId="27" fillId="38" borderId="78" xfId="85" applyFont="1" applyFill="1" applyBorder="1" applyAlignment="1">
      <alignment vertical="center" wrapText="1"/>
      <protection/>
    </xf>
    <xf numFmtId="0" fontId="26" fillId="38" borderId="78" xfId="85" applyFont="1" applyFill="1" applyBorder="1" applyAlignment="1">
      <alignment vertical="center"/>
      <protection/>
    </xf>
    <xf numFmtId="0" fontId="26" fillId="38" borderId="94" xfId="85" applyFont="1" applyFill="1" applyBorder="1" applyAlignment="1">
      <alignment vertical="center" wrapText="1"/>
      <protection/>
    </xf>
    <xf numFmtId="0" fontId="113" fillId="38" borderId="80" xfId="85" applyFont="1" applyFill="1" applyBorder="1" applyAlignment="1">
      <alignment vertical="center"/>
      <protection/>
    </xf>
    <xf numFmtId="0" fontId="113" fillId="38" borderId="0" xfId="85" applyFont="1" applyFill="1" applyBorder="1" applyAlignment="1">
      <alignment vertical="center"/>
      <protection/>
    </xf>
    <xf numFmtId="0" fontId="114" fillId="38" borderId="0" xfId="85" applyFont="1" applyFill="1" applyBorder="1" applyAlignment="1">
      <alignment vertical="center"/>
      <protection/>
    </xf>
    <xf numFmtId="0" fontId="115" fillId="38" borderId="0" xfId="85" applyFont="1" applyFill="1" applyBorder="1" applyAlignment="1">
      <alignment vertical="center"/>
      <protection/>
    </xf>
    <xf numFmtId="3" fontId="113" fillId="38" borderId="0" xfId="85" applyNumberFormat="1" applyFont="1" applyFill="1" applyBorder="1" applyAlignment="1">
      <alignment horizontal="right" vertical="center"/>
      <protection/>
    </xf>
    <xf numFmtId="166" fontId="113" fillId="38" borderId="0" xfId="85" applyNumberFormat="1" applyFont="1" applyFill="1" applyBorder="1" applyAlignment="1">
      <alignment horizontal="right" vertical="center"/>
      <protection/>
    </xf>
    <xf numFmtId="0" fontId="113" fillId="38" borderId="0" xfId="85" applyFont="1" applyFill="1" applyBorder="1" applyAlignment="1">
      <alignment horizontal="right" vertical="center"/>
      <protection/>
    </xf>
    <xf numFmtId="0" fontId="113" fillId="38" borderId="81" xfId="85" applyFont="1" applyFill="1" applyBorder="1" applyAlignment="1">
      <alignment horizontal="right" vertical="center"/>
      <protection/>
    </xf>
    <xf numFmtId="0" fontId="115" fillId="0" borderId="0" xfId="85" applyFont="1" applyFill="1" applyAlignment="1">
      <alignment vertical="center"/>
      <protection/>
    </xf>
    <xf numFmtId="3" fontId="27" fillId="38" borderId="58" xfId="85" applyNumberFormat="1" applyFont="1" applyFill="1" applyBorder="1" applyAlignment="1">
      <alignment vertical="center"/>
      <protection/>
    </xf>
    <xf numFmtId="3" fontId="27" fillId="38" borderId="29" xfId="85" applyNumberFormat="1" applyFont="1" applyFill="1" applyBorder="1" applyAlignment="1">
      <alignment vertical="center"/>
      <protection/>
    </xf>
    <xf numFmtId="0" fontId="4" fillId="38" borderId="48" xfId="85" applyFont="1" applyFill="1" applyBorder="1" applyAlignment="1">
      <alignment vertical="center"/>
      <protection/>
    </xf>
    <xf numFmtId="3" fontId="22" fillId="38" borderId="92" xfId="85" applyNumberFormat="1" applyFont="1" applyFill="1" applyBorder="1" applyAlignment="1">
      <alignment vertical="center"/>
      <protection/>
    </xf>
    <xf numFmtId="0" fontId="22" fillId="38" borderId="92" xfId="85" applyFont="1" applyFill="1" applyBorder="1" applyAlignment="1">
      <alignment vertical="center"/>
      <protection/>
    </xf>
    <xf numFmtId="3" fontId="4" fillId="38" borderId="29" xfId="85" applyNumberFormat="1" applyFont="1" applyFill="1" applyBorder="1" applyAlignment="1">
      <alignment horizontal="right" vertical="center"/>
      <protection/>
    </xf>
    <xf numFmtId="166" fontId="111" fillId="38" borderId="29" xfId="85" applyNumberFormat="1" applyFont="1" applyFill="1" applyBorder="1" applyAlignment="1">
      <alignment horizontal="right" vertical="center"/>
      <protection/>
    </xf>
    <xf numFmtId="166" fontId="111" fillId="38" borderId="48" xfId="85" applyNumberFormat="1" applyFont="1" applyFill="1" applyBorder="1" applyAlignment="1">
      <alignment horizontal="right" vertical="center"/>
      <protection/>
    </xf>
    <xf numFmtId="166" fontId="111" fillId="38" borderId="46" xfId="85" applyNumberFormat="1" applyFont="1" applyFill="1" applyBorder="1" applyAlignment="1">
      <alignment horizontal="right" vertical="center"/>
      <protection/>
    </xf>
    <xf numFmtId="166" fontId="112" fillId="38" borderId="48" xfId="85" applyNumberFormat="1" applyFont="1" applyFill="1" applyBorder="1" applyAlignment="1">
      <alignment horizontal="right" vertical="center"/>
      <protection/>
    </xf>
    <xf numFmtId="166" fontId="112" fillId="38" borderId="50" xfId="85" applyNumberFormat="1" applyFont="1" applyFill="1" applyBorder="1" applyAlignment="1">
      <alignment horizontal="right" vertical="center"/>
      <protection/>
    </xf>
    <xf numFmtId="0" fontId="26" fillId="38" borderId="62" xfId="85" applyFont="1" applyFill="1" applyBorder="1" applyAlignment="1">
      <alignment vertical="center"/>
      <protection/>
    </xf>
    <xf numFmtId="0" fontId="26" fillId="38" borderId="13" xfId="85" applyFont="1" applyFill="1" applyBorder="1" applyAlignment="1">
      <alignment vertical="center"/>
      <protection/>
    </xf>
    <xf numFmtId="0" fontId="8" fillId="38" borderId="14" xfId="85" applyFont="1" applyFill="1" applyBorder="1" applyAlignment="1">
      <alignment vertical="center"/>
      <protection/>
    </xf>
    <xf numFmtId="0" fontId="4" fillId="38" borderId="17" xfId="85" applyFont="1" applyFill="1" applyBorder="1" applyAlignment="1">
      <alignment vertical="center"/>
      <protection/>
    </xf>
    <xf numFmtId="166" fontId="111" fillId="38" borderId="16" xfId="85" applyNumberFormat="1" applyFont="1" applyFill="1" applyBorder="1" applyAlignment="1">
      <alignment horizontal="right" vertical="center"/>
      <protection/>
    </xf>
    <xf numFmtId="166" fontId="111" fillId="38" borderId="14" xfId="85" applyNumberFormat="1" applyFont="1" applyFill="1" applyBorder="1" applyAlignment="1">
      <alignment horizontal="right" vertical="center"/>
      <protection/>
    </xf>
    <xf numFmtId="166" fontId="111" fillId="38" borderId="51" xfId="85" applyNumberFormat="1" applyFont="1" applyFill="1" applyBorder="1" applyAlignment="1">
      <alignment horizontal="right" vertical="center"/>
      <protection/>
    </xf>
    <xf numFmtId="0" fontId="4" fillId="38" borderId="62" xfId="85" applyFont="1" applyFill="1" applyBorder="1" applyAlignment="1">
      <alignment vertical="center"/>
      <protection/>
    </xf>
    <xf numFmtId="0" fontId="4" fillId="38" borderId="13" xfId="85" applyFont="1" applyFill="1" applyBorder="1" applyAlignment="1">
      <alignment vertical="center"/>
      <protection/>
    </xf>
    <xf numFmtId="3" fontId="4" fillId="38" borderId="13" xfId="85" applyNumberFormat="1" applyFont="1" applyFill="1" applyBorder="1" applyAlignment="1">
      <alignment horizontal="right" vertical="center"/>
      <protection/>
    </xf>
    <xf numFmtId="166" fontId="111" fillId="38" borderId="13" xfId="85" applyNumberFormat="1" applyFont="1" applyFill="1" applyBorder="1" applyAlignment="1">
      <alignment horizontal="right" vertical="center"/>
      <protection/>
    </xf>
    <xf numFmtId="166" fontId="112" fillId="38" borderId="14" xfId="85" applyNumberFormat="1" applyFont="1" applyFill="1" applyBorder="1" applyAlignment="1">
      <alignment horizontal="right" vertical="center"/>
      <protection/>
    </xf>
    <xf numFmtId="166" fontId="112" fillId="38" borderId="51" xfId="85" applyNumberFormat="1" applyFont="1" applyFill="1" applyBorder="1" applyAlignment="1">
      <alignment horizontal="right" vertical="center"/>
      <protection/>
    </xf>
    <xf numFmtId="0" fontId="4" fillId="38" borderId="64" xfId="85" applyFont="1" applyFill="1" applyBorder="1" applyAlignment="1">
      <alignment vertical="center"/>
      <protection/>
    </xf>
    <xf numFmtId="0" fontId="4" fillId="38" borderId="65" xfId="85" applyFont="1" applyFill="1" applyBorder="1" applyAlignment="1">
      <alignment vertical="center"/>
      <protection/>
    </xf>
    <xf numFmtId="3" fontId="22" fillId="38" borderId="65" xfId="85" applyNumberFormat="1" applyFont="1" applyFill="1" applyBorder="1" applyAlignment="1">
      <alignment horizontal="right" vertical="center"/>
      <protection/>
    </xf>
    <xf numFmtId="166" fontId="111" fillId="38" borderId="65" xfId="85" applyNumberFormat="1" applyFont="1" applyFill="1" applyBorder="1" applyAlignment="1">
      <alignment horizontal="right" vertical="center"/>
      <protection/>
    </xf>
    <xf numFmtId="166" fontId="111" fillId="38" borderId="75" xfId="85" applyNumberFormat="1" applyFont="1" applyFill="1" applyBorder="1" applyAlignment="1">
      <alignment horizontal="right" vertical="center"/>
      <protection/>
    </xf>
    <xf numFmtId="166" fontId="111" fillId="38" borderId="83" xfId="85" applyNumberFormat="1" applyFont="1" applyFill="1" applyBorder="1" applyAlignment="1">
      <alignment horizontal="right" vertical="center"/>
      <protection/>
    </xf>
    <xf numFmtId="3" fontId="112" fillId="38" borderId="75" xfId="85" applyNumberFormat="1" applyFont="1" applyFill="1" applyBorder="1" applyAlignment="1">
      <alignment horizontal="right" vertical="center"/>
      <protection/>
    </xf>
    <xf numFmtId="3" fontId="112" fillId="38" borderId="54" xfId="85" applyNumberFormat="1" applyFont="1" applyFill="1" applyBorder="1" applyAlignment="1">
      <alignment horizontal="right" vertical="center"/>
      <protection/>
    </xf>
    <xf numFmtId="0" fontId="21" fillId="0" borderId="0" xfId="85" applyFont="1" applyFill="1" applyBorder="1" applyAlignment="1">
      <alignment vertical="center"/>
      <protection/>
    </xf>
    <xf numFmtId="166" fontId="21" fillId="0" borderId="0" xfId="85" applyNumberFormat="1" applyFont="1" applyFill="1" applyBorder="1" applyAlignment="1">
      <alignment vertical="center"/>
      <protection/>
    </xf>
    <xf numFmtId="3" fontId="21" fillId="0" borderId="0" xfId="85" applyNumberFormat="1" applyFont="1" applyFill="1" applyBorder="1" applyAlignment="1">
      <alignment vertical="center"/>
      <protection/>
    </xf>
    <xf numFmtId="166" fontId="8" fillId="0" borderId="0" xfId="85" applyNumberFormat="1" applyFont="1" applyFill="1" applyBorder="1" applyAlignment="1">
      <alignment vertical="center"/>
      <protection/>
    </xf>
    <xf numFmtId="3" fontId="21" fillId="0" borderId="0" xfId="85" applyNumberFormat="1" applyFont="1" applyFill="1" applyBorder="1" applyAlignment="1">
      <alignment horizontal="right" vertical="center"/>
      <protection/>
    </xf>
    <xf numFmtId="0" fontId="8" fillId="0" borderId="0" xfId="46" applyFont="1" applyFill="1" applyAlignment="1">
      <alignment vertical="center"/>
      <protection/>
    </xf>
    <xf numFmtId="166" fontId="21" fillId="0" borderId="0" xfId="85" applyNumberFormat="1" applyFont="1" applyFill="1" applyBorder="1" applyAlignment="1">
      <alignment horizontal="right" vertical="center"/>
      <protection/>
    </xf>
    <xf numFmtId="0" fontId="0" fillId="0" borderId="0" xfId="46" applyFont="1" applyFill="1" applyAlignment="1">
      <alignment vertical="center"/>
      <protection/>
    </xf>
    <xf numFmtId="0" fontId="29" fillId="0" borderId="0" xfId="46" applyFont="1" applyFill="1" applyAlignment="1">
      <alignment vertical="center"/>
      <protection/>
    </xf>
    <xf numFmtId="166" fontId="0" fillId="0" borderId="0" xfId="46" applyNumberFormat="1" applyFont="1" applyFill="1" applyAlignment="1">
      <alignment horizontal="right" vertical="center"/>
      <protection/>
    </xf>
    <xf numFmtId="166" fontId="0" fillId="0" borderId="0" xfId="46" applyNumberFormat="1" applyFont="1" applyFill="1" applyAlignment="1">
      <alignment vertical="center"/>
      <protection/>
    </xf>
    <xf numFmtId="166" fontId="8" fillId="0" borderId="0" xfId="85" applyNumberFormat="1" applyFont="1" applyFill="1" applyAlignment="1">
      <alignment horizontal="right" vertical="center"/>
      <protection/>
    </xf>
    <xf numFmtId="166" fontId="8" fillId="0" borderId="0" xfId="85" applyNumberFormat="1" applyFont="1" applyFill="1" applyAlignment="1">
      <alignment vertical="center"/>
      <protection/>
    </xf>
    <xf numFmtId="0" fontId="29" fillId="0" borderId="0" xfId="85" applyFont="1" applyFill="1" applyAlignment="1">
      <alignment vertical="center"/>
      <protection/>
    </xf>
    <xf numFmtId="0" fontId="0" fillId="0" borderId="72" xfId="86" applyFont="1" applyBorder="1" applyAlignment="1">
      <alignment horizontal="centerContinuous" vertical="center"/>
      <protection/>
    </xf>
    <xf numFmtId="0" fontId="0" fillId="0" borderId="88" xfId="86" applyFont="1" applyBorder="1" applyAlignment="1">
      <alignment horizontal="centerContinuous" vertical="center"/>
      <protection/>
    </xf>
    <xf numFmtId="0" fontId="0" fillId="0" borderId="82" xfId="86" applyFont="1" applyBorder="1" applyAlignment="1">
      <alignment horizontal="centerContinuous" vertical="center"/>
      <protection/>
    </xf>
    <xf numFmtId="0" fontId="0" fillId="0" borderId="73" xfId="86" applyFont="1" applyFill="1" applyBorder="1" applyAlignment="1">
      <alignment horizontal="center" vertical="center"/>
      <protection/>
    </xf>
    <xf numFmtId="0" fontId="0" fillId="0" borderId="65" xfId="86" applyFont="1" applyBorder="1" applyAlignment="1">
      <alignment horizontal="center" vertical="center" wrapText="1"/>
      <protection/>
    </xf>
    <xf numFmtId="0" fontId="0" fillId="0" borderId="69" xfId="86" applyFont="1" applyFill="1" applyBorder="1" applyAlignment="1">
      <alignment horizontal="center" vertical="center" wrapText="1"/>
      <protection/>
    </xf>
    <xf numFmtId="0" fontId="0" fillId="0" borderId="93" xfId="86" applyFont="1" applyBorder="1" applyAlignment="1">
      <alignment vertical="center"/>
      <protection/>
    </xf>
    <xf numFmtId="3" fontId="0" fillId="0" borderId="23" xfId="86" applyNumberFormat="1" applyFont="1" applyBorder="1" applyAlignment="1">
      <alignment vertical="center"/>
      <protection/>
    </xf>
    <xf numFmtId="3" fontId="0" fillId="0" borderId="74" xfId="86" applyNumberFormat="1" applyFont="1" applyFill="1" applyBorder="1" applyAlignment="1">
      <alignment vertical="center"/>
      <protection/>
    </xf>
    <xf numFmtId="0" fontId="0" fillId="0" borderId="62" xfId="86" applyFont="1" applyBorder="1" applyAlignment="1">
      <alignment vertical="center"/>
      <protection/>
    </xf>
    <xf numFmtId="0" fontId="0" fillId="0" borderId="85" xfId="86" applyFont="1" applyBorder="1" applyAlignment="1">
      <alignment vertical="center"/>
      <protection/>
    </xf>
    <xf numFmtId="3" fontId="0" fillId="0" borderId="89" xfId="86" applyNumberFormat="1" applyFont="1" applyBorder="1" applyAlignment="1">
      <alignment vertical="center"/>
      <protection/>
    </xf>
    <xf numFmtId="0" fontId="0" fillId="0" borderId="77" xfId="86" applyFont="1" applyBorder="1" applyAlignment="1">
      <alignment vertical="center"/>
      <protection/>
    </xf>
    <xf numFmtId="3" fontId="0" fillId="0" borderId="21" xfId="86" applyNumberFormat="1" applyFont="1" applyBorder="1" applyAlignment="1">
      <alignment vertical="center"/>
      <protection/>
    </xf>
    <xf numFmtId="0" fontId="0" fillId="0" borderId="66" xfId="86" applyFont="1" applyBorder="1" applyAlignment="1">
      <alignment vertical="center"/>
      <protection/>
    </xf>
    <xf numFmtId="0" fontId="0" fillId="0" borderId="86" xfId="86" applyFont="1" applyBorder="1" applyAlignment="1">
      <alignment vertical="center"/>
      <protection/>
    </xf>
    <xf numFmtId="0" fontId="34" fillId="0" borderId="0" xfId="50" applyFont="1" applyAlignment="1">
      <alignment horizontal="left" vertical="center"/>
      <protection/>
    </xf>
    <xf numFmtId="0" fontId="35" fillId="0" borderId="0" xfId="50" applyFont="1" applyAlignment="1">
      <alignment horizontal="center" vertical="center"/>
      <protection/>
    </xf>
    <xf numFmtId="0" fontId="6" fillId="0" borderId="0" xfId="50" applyFont="1" applyAlignment="1">
      <alignment vertical="center"/>
      <protection/>
    </xf>
    <xf numFmtId="0" fontId="116" fillId="0" borderId="0" xfId="50" applyFont="1" applyAlignment="1">
      <alignment vertical="center"/>
      <protection/>
    </xf>
    <xf numFmtId="0" fontId="106" fillId="0" borderId="0" xfId="50" applyFont="1" applyAlignment="1">
      <alignment vertical="center"/>
      <protection/>
    </xf>
    <xf numFmtId="3" fontId="106" fillId="0" borderId="0" xfId="50" applyNumberFormat="1" applyFont="1" applyAlignment="1">
      <alignment vertical="center"/>
      <protection/>
    </xf>
    <xf numFmtId="0" fontId="6" fillId="0" borderId="77" xfId="50" applyFont="1" applyBorder="1" applyAlignment="1">
      <alignment horizontal="center" vertical="center" wrapText="1"/>
      <protection/>
    </xf>
    <xf numFmtId="0" fontId="6" fillId="0" borderId="21" xfId="50" applyFont="1" applyBorder="1" applyAlignment="1">
      <alignment horizontal="center" vertical="center" wrapText="1"/>
      <protection/>
    </xf>
    <xf numFmtId="3" fontId="106" fillId="0" borderId="21" xfId="50" applyNumberFormat="1" applyFont="1" applyBorder="1" applyAlignment="1">
      <alignment horizontal="center" vertical="center" wrapText="1"/>
      <protection/>
    </xf>
    <xf numFmtId="0" fontId="106" fillId="0" borderId="95" xfId="50" applyFont="1" applyBorder="1" applyAlignment="1">
      <alignment horizontal="center" vertical="center" wrapText="1"/>
      <protection/>
    </xf>
    <xf numFmtId="0" fontId="106" fillId="0" borderId="95" xfId="50" applyFont="1" applyBorder="1" applyAlignment="1">
      <alignment vertical="center" wrapText="1"/>
      <protection/>
    </xf>
    <xf numFmtId="0" fontId="106" fillId="0" borderId="96" xfId="50" applyFont="1" applyBorder="1" applyAlignment="1">
      <alignment horizontal="center" vertical="center" wrapText="1"/>
      <protection/>
    </xf>
    <xf numFmtId="0" fontId="6" fillId="0" borderId="77" xfId="50" applyFont="1" applyBorder="1" applyAlignment="1">
      <alignment vertical="center"/>
      <protection/>
    </xf>
    <xf numFmtId="0" fontId="6" fillId="0" borderId="21" xfId="50" applyFont="1" applyBorder="1" applyAlignment="1">
      <alignment vertical="center"/>
      <protection/>
    </xf>
    <xf numFmtId="3" fontId="6" fillId="0" borderId="21" xfId="50" applyNumberFormat="1" applyFont="1" applyBorder="1" applyAlignment="1">
      <alignment vertical="center"/>
      <protection/>
    </xf>
    <xf numFmtId="3" fontId="6" fillId="0" borderId="70" xfId="50" applyNumberFormat="1" applyFont="1" applyBorder="1" applyAlignment="1">
      <alignment vertical="center"/>
      <protection/>
    </xf>
    <xf numFmtId="0" fontId="107" fillId="0" borderId="86" xfId="50" applyFont="1" applyBorder="1" applyAlignment="1">
      <alignment vertical="center"/>
      <protection/>
    </xf>
    <xf numFmtId="3" fontId="6" fillId="0" borderId="70" xfId="50" applyNumberFormat="1" applyFont="1" applyFill="1" applyBorder="1" applyAlignment="1">
      <alignment vertical="center"/>
      <protection/>
    </xf>
    <xf numFmtId="4" fontId="6" fillId="0" borderId="70" xfId="50" applyNumberFormat="1" applyFont="1" applyFill="1" applyBorder="1" applyAlignment="1">
      <alignment vertical="center"/>
      <protection/>
    </xf>
    <xf numFmtId="0" fontId="106" fillId="0" borderId="71" xfId="50" applyFont="1" applyBorder="1" applyAlignment="1">
      <alignment horizontal="center" vertical="center" wrapText="1"/>
      <protection/>
    </xf>
    <xf numFmtId="0" fontId="106" fillId="0" borderId="73" xfId="50" applyFont="1" applyBorder="1" applyAlignment="1">
      <alignment horizontal="center" vertical="center" wrapText="1"/>
      <protection/>
    </xf>
    <xf numFmtId="0" fontId="106" fillId="0" borderId="58" xfId="50" applyFont="1" applyBorder="1" applyAlignment="1">
      <alignment vertical="center"/>
      <protection/>
    </xf>
    <xf numFmtId="0" fontId="106" fillId="0" borderId="29" xfId="50" applyFont="1" applyBorder="1" applyAlignment="1">
      <alignment vertical="center"/>
      <protection/>
    </xf>
    <xf numFmtId="3" fontId="106" fillId="0" borderId="29" xfId="50" applyNumberFormat="1" applyFont="1" applyBorder="1" applyAlignment="1">
      <alignment vertical="center"/>
      <protection/>
    </xf>
    <xf numFmtId="3" fontId="106" fillId="0" borderId="50" xfId="50" applyNumberFormat="1" applyFont="1" applyFill="1" applyBorder="1" applyAlignment="1">
      <alignment vertical="center"/>
      <protection/>
    </xf>
    <xf numFmtId="0" fontId="117" fillId="0" borderId="62" xfId="50" applyFont="1" applyFill="1" applyBorder="1" applyAlignment="1">
      <alignment vertical="center"/>
      <protection/>
    </xf>
    <xf numFmtId="0" fontId="117" fillId="0" borderId="13" xfId="50" applyFont="1" applyBorder="1" applyAlignment="1">
      <alignment vertical="center"/>
      <protection/>
    </xf>
    <xf numFmtId="10" fontId="117" fillId="0" borderId="13" xfId="50" applyNumberFormat="1" applyFont="1" applyBorder="1" applyAlignment="1">
      <alignment vertical="center"/>
      <protection/>
    </xf>
    <xf numFmtId="10" fontId="117" fillId="0" borderId="51" xfId="50" applyNumberFormat="1" applyFont="1" applyBorder="1" applyAlignment="1">
      <alignment vertical="center"/>
      <protection/>
    </xf>
    <xf numFmtId="0" fontId="106" fillId="0" borderId="62" xfId="50" applyFont="1" applyFill="1" applyBorder="1" applyAlignment="1">
      <alignment vertical="center"/>
      <protection/>
    </xf>
    <xf numFmtId="0" fontId="106" fillId="0" borderId="13" xfId="50" applyFont="1" applyBorder="1" applyAlignment="1">
      <alignment vertical="center"/>
      <protection/>
    </xf>
    <xf numFmtId="3" fontId="106" fillId="0" borderId="13" xfId="50" applyNumberFormat="1" applyFont="1" applyBorder="1" applyAlignment="1">
      <alignment vertical="center"/>
      <protection/>
    </xf>
    <xf numFmtId="3" fontId="106" fillId="0" borderId="51" xfId="50" applyNumberFormat="1" applyFont="1" applyBorder="1" applyAlignment="1">
      <alignment vertical="center"/>
      <protection/>
    </xf>
    <xf numFmtId="0" fontId="117" fillId="0" borderId="64" xfId="50" applyFont="1" applyFill="1" applyBorder="1" applyAlignment="1">
      <alignment vertical="center"/>
      <protection/>
    </xf>
    <xf numFmtId="0" fontId="117" fillId="0" borderId="65" xfId="50" applyFont="1" applyBorder="1" applyAlignment="1">
      <alignment vertical="center"/>
      <protection/>
    </xf>
    <xf numFmtId="10" fontId="117" fillId="0" borderId="65" xfId="50" applyNumberFormat="1" applyFont="1" applyBorder="1" applyAlignment="1">
      <alignment vertical="center"/>
      <protection/>
    </xf>
    <xf numFmtId="10" fontId="117" fillId="0" borderId="54" xfId="50" applyNumberFormat="1" applyFont="1" applyBorder="1" applyAlignment="1">
      <alignment vertical="center"/>
      <protection/>
    </xf>
    <xf numFmtId="0" fontId="118" fillId="0" borderId="0" xfId="50" applyFont="1" applyAlignment="1">
      <alignment/>
      <protection/>
    </xf>
    <xf numFmtId="0" fontId="116" fillId="0" borderId="0" xfId="50" applyFont="1">
      <alignment/>
      <protection/>
    </xf>
    <xf numFmtId="0" fontId="106" fillId="0" borderId="14" xfId="50" applyFont="1" applyBorder="1" applyAlignment="1">
      <alignment/>
      <protection/>
    </xf>
    <xf numFmtId="0" fontId="106" fillId="0" borderId="17" xfId="50" applyFont="1" applyBorder="1" applyAlignment="1">
      <alignment/>
      <protection/>
    </xf>
    <xf numFmtId="0" fontId="106" fillId="0" borderId="16" xfId="50" applyFont="1" applyBorder="1" applyAlignment="1">
      <alignment/>
      <protection/>
    </xf>
    <xf numFmtId="3" fontId="106" fillId="0" borderId="13" xfId="50" applyNumberFormat="1" applyFont="1" applyBorder="1">
      <alignment/>
      <protection/>
    </xf>
    <xf numFmtId="0" fontId="106" fillId="0" borderId="0" xfId="50" applyFont="1">
      <alignment/>
      <protection/>
    </xf>
    <xf numFmtId="168" fontId="106" fillId="0" borderId="13" xfId="50" applyNumberFormat="1" applyFont="1" applyBorder="1" applyAlignment="1">
      <alignment horizontal="right"/>
      <protection/>
    </xf>
    <xf numFmtId="0" fontId="106" fillId="0" borderId="0" xfId="50" applyFont="1" applyBorder="1" applyAlignment="1">
      <alignment horizontal="left"/>
      <protection/>
    </xf>
    <xf numFmtId="168" fontId="106" fillId="0" borderId="0" xfId="50" applyNumberFormat="1" applyFont="1" applyBorder="1" applyAlignment="1">
      <alignment horizontal="right"/>
      <protection/>
    </xf>
    <xf numFmtId="0" fontId="107" fillId="0" borderId="65" xfId="50" applyFont="1" applyFill="1" applyBorder="1" applyAlignment="1">
      <alignment horizontal="center" vertical="center" wrapText="1"/>
      <protection/>
    </xf>
    <xf numFmtId="0" fontId="107" fillId="0" borderId="75" xfId="50" applyFont="1" applyFill="1" applyBorder="1" applyAlignment="1">
      <alignment horizontal="center" vertical="center" wrapText="1"/>
      <protection/>
    </xf>
    <xf numFmtId="49" fontId="13" fillId="0" borderId="93" xfId="50" applyNumberFormat="1" applyFont="1" applyFill="1" applyBorder="1" applyAlignment="1">
      <alignment horizontal="center"/>
      <protection/>
    </xf>
    <xf numFmtId="0" fontId="13" fillId="0" borderId="23" xfId="50" applyFont="1" applyFill="1" applyBorder="1" applyAlignment="1">
      <alignment/>
      <protection/>
    </xf>
    <xf numFmtId="3" fontId="0" fillId="0" borderId="23" xfId="63" applyNumberFormat="1" applyFont="1" applyFill="1" applyBorder="1" applyAlignment="1">
      <alignment horizontal="right" indent="1"/>
      <protection/>
    </xf>
    <xf numFmtId="3" fontId="0" fillId="0" borderId="25" xfId="63" applyNumberFormat="1" applyFont="1" applyFill="1" applyBorder="1" applyAlignment="1">
      <alignment horizontal="right" indent="1"/>
      <protection/>
    </xf>
    <xf numFmtId="3" fontId="107" fillId="0" borderId="97" xfId="50" applyNumberFormat="1" applyFont="1" applyBorder="1" applyAlignment="1">
      <alignment horizontal="right" indent="1"/>
      <protection/>
    </xf>
    <xf numFmtId="169" fontId="106" fillId="0" borderId="0" xfId="50" applyNumberFormat="1" applyFont="1">
      <alignment/>
      <protection/>
    </xf>
    <xf numFmtId="49" fontId="13" fillId="0" borderId="62" xfId="50" applyNumberFormat="1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/>
      <protection/>
    </xf>
    <xf numFmtId="3" fontId="0" fillId="0" borderId="13" xfId="63" applyNumberFormat="1" applyFont="1" applyFill="1" applyBorder="1" applyAlignment="1">
      <alignment horizontal="right" indent="1"/>
      <protection/>
    </xf>
    <xf numFmtId="3" fontId="0" fillId="0" borderId="14" xfId="63" applyNumberFormat="1" applyFont="1" applyFill="1" applyBorder="1" applyAlignment="1">
      <alignment horizontal="right" indent="1"/>
      <protection/>
    </xf>
    <xf numFmtId="3" fontId="106" fillId="0" borderId="0" xfId="50" applyNumberFormat="1" applyFont="1">
      <alignment/>
      <protection/>
    </xf>
    <xf numFmtId="3" fontId="0" fillId="0" borderId="13" xfId="50" applyNumberFormat="1" applyFont="1" applyFill="1" applyBorder="1" applyAlignment="1">
      <alignment horizontal="right" indent="1"/>
      <protection/>
    </xf>
    <xf numFmtId="3" fontId="0" fillId="0" borderId="14" xfId="50" applyNumberFormat="1" applyFont="1" applyFill="1" applyBorder="1" applyAlignment="1">
      <alignment horizontal="right" indent="1"/>
      <protection/>
    </xf>
    <xf numFmtId="3" fontId="107" fillId="0" borderId="97" xfId="50" applyNumberFormat="1" applyFont="1" applyBorder="1" applyAlignment="1" quotePrefix="1">
      <alignment horizontal="right" indent="1"/>
      <protection/>
    </xf>
    <xf numFmtId="49" fontId="13" fillId="0" borderId="85" xfId="50" applyNumberFormat="1" applyFont="1" applyFill="1" applyBorder="1" applyAlignment="1">
      <alignment horizontal="center"/>
      <protection/>
    </xf>
    <xf numFmtId="0" fontId="13" fillId="0" borderId="19" xfId="50" applyFont="1" applyFill="1" applyBorder="1" applyAlignment="1">
      <alignment/>
      <protection/>
    </xf>
    <xf numFmtId="3" fontId="106" fillId="0" borderId="19" xfId="50" applyNumberFormat="1" applyFont="1" applyFill="1" applyBorder="1" applyAlignment="1">
      <alignment horizontal="right" indent="1"/>
      <protection/>
    </xf>
    <xf numFmtId="3" fontId="106" fillId="0" borderId="20" xfId="50" applyNumberFormat="1" applyFont="1" applyFill="1" applyBorder="1" applyAlignment="1">
      <alignment horizontal="right" indent="1"/>
      <protection/>
    </xf>
    <xf numFmtId="0" fontId="107" fillId="0" borderId="66" xfId="50" applyFont="1" applyBorder="1" applyAlignment="1">
      <alignment/>
      <protection/>
    </xf>
    <xf numFmtId="0" fontId="107" fillId="0" borderId="87" xfId="50" applyFont="1" applyBorder="1" applyAlignment="1">
      <alignment/>
      <protection/>
    </xf>
    <xf numFmtId="3" fontId="107" fillId="0" borderId="21" xfId="50" applyNumberFormat="1" applyFont="1" applyFill="1" applyBorder="1" applyAlignment="1">
      <alignment horizontal="right" indent="1"/>
      <protection/>
    </xf>
    <xf numFmtId="3" fontId="107" fillId="0" borderId="22" xfId="50" applyNumberFormat="1" applyFont="1" applyFill="1" applyBorder="1" applyAlignment="1">
      <alignment horizontal="right" indent="1"/>
      <protection/>
    </xf>
    <xf numFmtId="3" fontId="107" fillId="0" borderId="98" xfId="50" applyNumberFormat="1" applyFont="1" applyBorder="1" applyAlignment="1">
      <alignment horizontal="right" indent="1"/>
      <protection/>
    </xf>
    <xf numFmtId="0" fontId="38" fillId="0" borderId="0" xfId="50" applyFont="1" applyAlignment="1">
      <alignment vertical="center"/>
      <protection/>
    </xf>
    <xf numFmtId="3" fontId="116" fillId="0" borderId="0" xfId="50" applyNumberFormat="1" applyFont="1" applyAlignment="1">
      <alignment vertical="center"/>
      <protection/>
    </xf>
    <xf numFmtId="0" fontId="39" fillId="0" borderId="0" xfId="50" applyFont="1" applyAlignment="1">
      <alignment vertical="center"/>
      <protection/>
    </xf>
    <xf numFmtId="0" fontId="119" fillId="0" borderId="0" xfId="50" applyFont="1" applyAlignment="1">
      <alignment vertical="center"/>
      <protection/>
    </xf>
    <xf numFmtId="0" fontId="106" fillId="0" borderId="99" xfId="50" applyFont="1" applyBorder="1" applyAlignment="1">
      <alignment vertical="center"/>
      <protection/>
    </xf>
    <xf numFmtId="0" fontId="106" fillId="0" borderId="92" xfId="50" applyFont="1" applyBorder="1" applyAlignment="1">
      <alignment vertical="center"/>
      <protection/>
    </xf>
    <xf numFmtId="3" fontId="106" fillId="0" borderId="50" xfId="50" applyNumberFormat="1" applyFont="1" applyBorder="1" applyAlignment="1">
      <alignment vertical="center"/>
      <protection/>
    </xf>
    <xf numFmtId="0" fontId="106" fillId="0" borderId="77" xfId="50" applyFont="1" applyBorder="1" applyAlignment="1">
      <alignment horizontal="center" vertical="center" wrapText="1"/>
      <protection/>
    </xf>
    <xf numFmtId="0" fontId="106" fillId="0" borderId="21" xfId="50" applyFont="1" applyBorder="1" applyAlignment="1">
      <alignment horizontal="center" vertical="center" wrapText="1"/>
      <protection/>
    </xf>
    <xf numFmtId="3" fontId="106" fillId="0" borderId="70" xfId="50" applyNumberFormat="1" applyFont="1" applyBorder="1" applyAlignment="1">
      <alignment horizontal="center" vertical="center" wrapText="1"/>
      <protection/>
    </xf>
    <xf numFmtId="0" fontId="106" fillId="0" borderId="61" xfId="50" applyFont="1" applyBorder="1" applyAlignment="1">
      <alignment vertical="center"/>
      <protection/>
    </xf>
    <xf numFmtId="0" fontId="106" fillId="0" borderId="17" xfId="50" applyFont="1" applyBorder="1" applyAlignment="1">
      <alignment vertical="center"/>
      <protection/>
    </xf>
    <xf numFmtId="3" fontId="106" fillId="0" borderId="51" xfId="50" applyNumberFormat="1" applyFont="1" applyFill="1" applyBorder="1" applyAlignment="1">
      <alignment vertical="center"/>
      <protection/>
    </xf>
    <xf numFmtId="0" fontId="106" fillId="0" borderId="93" xfId="50" applyFont="1" applyBorder="1" applyAlignment="1">
      <alignment horizontal="center" vertical="center"/>
      <protection/>
    </xf>
    <xf numFmtId="0" fontId="106" fillId="0" borderId="23" xfId="50" applyFont="1" applyBorder="1" applyAlignment="1">
      <alignment vertical="center"/>
      <protection/>
    </xf>
    <xf numFmtId="3" fontId="106" fillId="0" borderId="23" xfId="50" applyNumberFormat="1" applyFont="1" applyBorder="1" applyAlignment="1">
      <alignment vertical="center"/>
      <protection/>
    </xf>
    <xf numFmtId="3" fontId="106" fillId="0" borderId="74" xfId="50" applyNumberFormat="1" applyFont="1" applyBorder="1" applyAlignment="1">
      <alignment vertical="center"/>
      <protection/>
    </xf>
    <xf numFmtId="0" fontId="106" fillId="0" borderId="100" xfId="50" applyFont="1" applyBorder="1" applyAlignment="1">
      <alignment vertical="center"/>
      <protection/>
    </xf>
    <xf numFmtId="0" fontId="106" fillId="0" borderId="91" xfId="50" applyFont="1" applyBorder="1" applyAlignment="1">
      <alignment vertical="center"/>
      <protection/>
    </xf>
    <xf numFmtId="3" fontId="106" fillId="0" borderId="53" xfId="50" applyNumberFormat="1" applyFont="1" applyBorder="1" applyAlignment="1">
      <alignment vertical="center"/>
      <protection/>
    </xf>
    <xf numFmtId="0" fontId="106" fillId="0" borderId="62" xfId="50" applyFont="1" applyBorder="1" applyAlignment="1">
      <alignment horizontal="center" vertical="center"/>
      <protection/>
    </xf>
    <xf numFmtId="0" fontId="106" fillId="0" borderId="66" xfId="50" applyFont="1" applyBorder="1" applyAlignment="1">
      <alignment vertical="center"/>
      <protection/>
    </xf>
    <xf numFmtId="0" fontId="106" fillId="0" borderId="86" xfId="50" applyFont="1" applyBorder="1" applyAlignment="1">
      <alignment vertical="center"/>
      <protection/>
    </xf>
    <xf numFmtId="3" fontId="106" fillId="0" borderId="70" xfId="50" applyNumberFormat="1" applyFont="1" applyFill="1" applyBorder="1" applyAlignment="1">
      <alignment vertical="center"/>
      <protection/>
    </xf>
    <xf numFmtId="3" fontId="120" fillId="0" borderId="0" xfId="50" applyNumberFormat="1" applyFont="1" applyAlignment="1">
      <alignment vertical="center"/>
      <protection/>
    </xf>
    <xf numFmtId="0" fontId="108" fillId="0" borderId="66" xfId="50" applyFont="1" applyBorder="1" applyAlignment="1">
      <alignment vertical="center"/>
      <protection/>
    </xf>
    <xf numFmtId="0" fontId="108" fillId="0" borderId="86" xfId="50" applyFont="1" applyBorder="1" applyAlignment="1">
      <alignment vertical="center"/>
      <protection/>
    </xf>
    <xf numFmtId="0" fontId="108" fillId="0" borderId="87" xfId="50" applyFont="1" applyBorder="1" applyAlignment="1">
      <alignment vertical="center"/>
      <protection/>
    </xf>
    <xf numFmtId="3" fontId="108" fillId="0" borderId="70" xfId="50" applyNumberFormat="1" applyFont="1" applyFill="1" applyBorder="1" applyAlignment="1">
      <alignment vertical="center"/>
      <protection/>
    </xf>
    <xf numFmtId="0" fontId="106" fillId="0" borderId="57" xfId="50" applyFont="1" applyBorder="1" applyAlignment="1">
      <alignment vertical="center"/>
      <protection/>
    </xf>
    <xf numFmtId="0" fontId="106" fillId="0" borderId="28" xfId="50" applyFont="1" applyBorder="1" applyAlignment="1">
      <alignment vertical="center"/>
      <protection/>
    </xf>
    <xf numFmtId="0" fontId="106" fillId="0" borderId="56" xfId="50" applyFont="1" applyBorder="1" applyAlignment="1">
      <alignment vertical="center"/>
      <protection/>
    </xf>
    <xf numFmtId="3" fontId="106" fillId="0" borderId="74" xfId="50" applyNumberFormat="1" applyFont="1" applyFill="1" applyBorder="1" applyAlignment="1">
      <alignment vertical="center"/>
      <protection/>
    </xf>
    <xf numFmtId="0" fontId="106" fillId="0" borderId="63" xfId="50" applyFont="1" applyBorder="1" applyAlignment="1">
      <alignment vertical="center"/>
      <protection/>
    </xf>
    <xf numFmtId="0" fontId="106" fillId="0" borderId="101" xfId="50" applyFont="1" applyBorder="1" applyAlignment="1">
      <alignment vertical="center"/>
      <protection/>
    </xf>
    <xf numFmtId="3" fontId="106" fillId="0" borderId="54" xfId="50" applyNumberFormat="1" applyFont="1" applyFill="1" applyBorder="1" applyAlignment="1">
      <alignment vertical="center"/>
      <protection/>
    </xf>
    <xf numFmtId="0" fontId="106" fillId="0" borderId="0" xfId="50" applyFont="1" applyBorder="1" applyAlignment="1">
      <alignment vertical="center"/>
      <protection/>
    </xf>
    <xf numFmtId="0" fontId="106" fillId="0" borderId="0" xfId="50" applyFont="1" applyBorder="1" applyAlignment="1">
      <alignment vertical="center" wrapText="1"/>
      <protection/>
    </xf>
    <xf numFmtId="0" fontId="106" fillId="0" borderId="0" xfId="50" applyFont="1" applyBorder="1" applyAlignment="1">
      <alignment horizontal="center" vertical="center" wrapText="1"/>
      <protection/>
    </xf>
    <xf numFmtId="0" fontId="106" fillId="0" borderId="102" xfId="50" applyFont="1" applyBorder="1" applyAlignment="1">
      <alignment horizontal="center" vertical="center" wrapText="1"/>
      <protection/>
    </xf>
    <xf numFmtId="0" fontId="106" fillId="0" borderId="103" xfId="50" applyFont="1" applyBorder="1" applyAlignment="1">
      <alignment horizontal="center" vertical="center" wrapText="1"/>
      <protection/>
    </xf>
    <xf numFmtId="0" fontId="106" fillId="0" borderId="104" xfId="50" applyFont="1" applyBorder="1" applyAlignment="1">
      <alignment vertical="center" wrapText="1"/>
      <protection/>
    </xf>
    <xf numFmtId="3" fontId="106" fillId="0" borderId="104" xfId="50" applyNumberFormat="1" applyFont="1" applyBorder="1" applyAlignment="1">
      <alignment horizontal="right" vertical="center" wrapText="1"/>
      <protection/>
    </xf>
    <xf numFmtId="0" fontId="106" fillId="0" borderId="105" xfId="50" applyFont="1" applyBorder="1" applyAlignment="1">
      <alignment horizontal="center" vertical="center" wrapText="1"/>
      <protection/>
    </xf>
    <xf numFmtId="3" fontId="106" fillId="0" borderId="95" xfId="50" applyNumberFormat="1" applyFont="1" applyBorder="1" applyAlignment="1">
      <alignment horizontal="right" vertical="center" wrapText="1"/>
      <protection/>
    </xf>
    <xf numFmtId="3" fontId="106" fillId="0" borderId="106" xfId="50" applyNumberFormat="1" applyFont="1" applyBorder="1" applyAlignment="1">
      <alignment vertical="center"/>
      <protection/>
    </xf>
    <xf numFmtId="3" fontId="106" fillId="0" borderId="107" xfId="50" applyNumberFormat="1" applyFont="1" applyBorder="1" applyAlignment="1">
      <alignment vertical="center"/>
      <protection/>
    </xf>
    <xf numFmtId="0" fontId="106" fillId="0" borderId="108" xfId="50" applyFont="1" applyBorder="1" applyAlignment="1">
      <alignment horizontal="center" vertical="center" wrapText="1"/>
      <protection/>
    </xf>
    <xf numFmtId="0" fontId="106" fillId="0" borderId="109" xfId="50" applyFont="1" applyBorder="1" applyAlignment="1">
      <alignment vertical="center" wrapText="1"/>
      <protection/>
    </xf>
    <xf numFmtId="3" fontId="106" fillId="0" borderId="109" xfId="50" applyNumberFormat="1" applyFont="1" applyBorder="1" applyAlignment="1">
      <alignment horizontal="right" vertical="center" wrapText="1"/>
      <protection/>
    </xf>
    <xf numFmtId="3" fontId="106" fillId="0" borderId="110" xfId="50" applyNumberFormat="1" applyFont="1" applyBorder="1" applyAlignment="1">
      <alignment vertical="center"/>
      <protection/>
    </xf>
    <xf numFmtId="3" fontId="106" fillId="0" borderId="111" xfId="50" applyNumberFormat="1" applyFont="1" applyBorder="1" applyAlignment="1">
      <alignment vertical="center"/>
      <protection/>
    </xf>
    <xf numFmtId="3" fontId="107" fillId="0" borderId="70" xfId="50" applyNumberFormat="1" applyFont="1" applyBorder="1" applyAlignment="1">
      <alignment vertical="center"/>
      <protection/>
    </xf>
    <xf numFmtId="4" fontId="0" fillId="0" borderId="70" xfId="86" applyNumberFormat="1" applyFont="1" applyFill="1" applyBorder="1" applyAlignment="1">
      <alignment vertical="center"/>
      <protection/>
    </xf>
    <xf numFmtId="4" fontId="0" fillId="0" borderId="112" xfId="86" applyNumberFormat="1" applyFont="1" applyBorder="1" applyAlignment="1">
      <alignment vertical="center"/>
      <protection/>
    </xf>
    <xf numFmtId="165" fontId="0" fillId="0" borderId="112" xfId="8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121" fillId="0" borderId="0" xfId="50" applyFont="1" applyAlignment="1">
      <alignment horizontal="left" vertical="center" wrapText="1"/>
      <protection/>
    </xf>
    <xf numFmtId="3" fontId="106" fillId="0" borderId="96" xfId="50" applyNumberFormat="1" applyFont="1" applyBorder="1" applyAlignment="1">
      <alignment horizontal="right" vertical="center" wrapText="1"/>
      <protection/>
    </xf>
    <xf numFmtId="3" fontId="106" fillId="0" borderId="106" xfId="50" applyNumberFormat="1" applyFont="1" applyBorder="1" applyAlignment="1">
      <alignment vertical="center" wrapText="1"/>
      <protection/>
    </xf>
    <xf numFmtId="3" fontId="106" fillId="0" borderId="107" xfId="50" applyNumberFormat="1" applyFont="1" applyBorder="1" applyAlignment="1">
      <alignment vertical="center" wrapText="1"/>
      <protection/>
    </xf>
    <xf numFmtId="3" fontId="106" fillId="0" borderId="110" xfId="50" applyNumberFormat="1" applyFont="1" applyBorder="1" applyAlignment="1">
      <alignment vertical="center" wrapText="1"/>
      <protection/>
    </xf>
    <xf numFmtId="3" fontId="107" fillId="0" borderId="113" xfId="50" applyNumberFormat="1" applyFont="1" applyBorder="1" applyAlignment="1">
      <alignment vertical="center"/>
      <protection/>
    </xf>
    <xf numFmtId="0" fontId="107" fillId="0" borderId="86" xfId="50" applyFont="1" applyFill="1" applyBorder="1" applyAlignment="1">
      <alignment vertical="center" wrapText="1"/>
      <protection/>
    </xf>
    <xf numFmtId="0" fontId="6" fillId="0" borderId="22" xfId="50" applyFont="1" applyBorder="1" applyAlignment="1">
      <alignment horizontal="center" vertical="center" wrapText="1"/>
      <protection/>
    </xf>
    <xf numFmtId="0" fontId="6" fillId="0" borderId="87" xfId="50" applyFont="1" applyBorder="1" applyAlignment="1">
      <alignment horizontal="center" vertical="center" wrapText="1"/>
      <protection/>
    </xf>
    <xf numFmtId="0" fontId="106" fillId="0" borderId="114" xfId="50" applyFont="1" applyBorder="1" applyAlignment="1">
      <alignment vertical="center" wrapText="1"/>
      <protection/>
    </xf>
    <xf numFmtId="0" fontId="106" fillId="0" borderId="115" xfId="50" applyFont="1" applyBorder="1" applyAlignment="1">
      <alignment vertical="center" wrapText="1"/>
      <protection/>
    </xf>
    <xf numFmtId="0" fontId="106" fillId="0" borderId="116" xfId="50" applyFont="1" applyBorder="1" applyAlignment="1">
      <alignment vertical="center" wrapText="1"/>
      <protection/>
    </xf>
    <xf numFmtId="0" fontId="106" fillId="0" borderId="117" xfId="50" applyFont="1" applyBorder="1" applyAlignment="1">
      <alignment vertical="center" wrapText="1"/>
      <protection/>
    </xf>
    <xf numFmtId="0" fontId="6" fillId="0" borderId="22" xfId="50" applyFont="1" applyBorder="1" applyAlignment="1">
      <alignment vertical="center"/>
      <protection/>
    </xf>
    <xf numFmtId="0" fontId="6" fillId="0" borderId="87" xfId="50" applyFont="1" applyBorder="1" applyAlignment="1">
      <alignment vertical="center"/>
      <protection/>
    </xf>
    <xf numFmtId="3" fontId="107" fillId="0" borderId="70" xfId="50" applyNumberFormat="1" applyFont="1" applyBorder="1" applyAlignment="1">
      <alignment horizontal="center" vertical="center" wrapText="1"/>
      <protection/>
    </xf>
    <xf numFmtId="0" fontId="107" fillId="0" borderId="71" xfId="50" applyFont="1" applyBorder="1" applyAlignment="1">
      <alignment horizontal="center" vertical="center" wrapText="1"/>
      <protection/>
    </xf>
    <xf numFmtId="0" fontId="107" fillId="0" borderId="73" xfId="50" applyFont="1" applyBorder="1" applyAlignment="1">
      <alignment horizontal="center" vertical="center" wrapText="1"/>
      <protection/>
    </xf>
    <xf numFmtId="0" fontId="107" fillId="0" borderId="72" xfId="50" applyFont="1" applyBorder="1" applyAlignment="1">
      <alignment horizontal="center" vertical="center" wrapText="1"/>
      <protection/>
    </xf>
    <xf numFmtId="0" fontId="107" fillId="0" borderId="66" xfId="50" applyFont="1" applyFill="1" applyBorder="1" applyAlignment="1">
      <alignment vertical="center"/>
      <protection/>
    </xf>
    <xf numFmtId="0" fontId="117" fillId="0" borderId="61" xfId="50" applyFont="1" applyFill="1" applyBorder="1" applyAlignment="1">
      <alignment vertical="center"/>
      <protection/>
    </xf>
    <xf numFmtId="0" fontId="117" fillId="0" borderId="17" xfId="50" applyFont="1" applyBorder="1" applyAlignment="1">
      <alignment vertical="center"/>
      <protection/>
    </xf>
    <xf numFmtId="0" fontId="106" fillId="0" borderId="61" xfId="50" applyFont="1" applyFill="1" applyBorder="1" applyAlignment="1">
      <alignment vertical="center"/>
      <protection/>
    </xf>
    <xf numFmtId="0" fontId="117" fillId="0" borderId="63" xfId="50" applyFont="1" applyFill="1" applyBorder="1" applyAlignment="1">
      <alignment vertical="center"/>
      <protection/>
    </xf>
    <xf numFmtId="0" fontId="117" fillId="0" borderId="101" xfId="50" applyFont="1" applyBorder="1" applyAlignment="1">
      <alignment vertical="center"/>
      <protection/>
    </xf>
    <xf numFmtId="0" fontId="122" fillId="0" borderId="0" xfId="50" applyFont="1" applyAlignment="1">
      <alignment vertical="center"/>
      <protection/>
    </xf>
    <xf numFmtId="0" fontId="106" fillId="0" borderId="0" xfId="50" applyFont="1" applyAlignment="1">
      <alignment horizontal="center"/>
      <protection/>
    </xf>
    <xf numFmtId="0" fontId="123" fillId="0" borderId="0" xfId="50" applyFont="1">
      <alignment/>
      <protection/>
    </xf>
    <xf numFmtId="0" fontId="123" fillId="0" borderId="0" xfId="50" applyFont="1" applyAlignment="1">
      <alignment horizontal="center"/>
      <protection/>
    </xf>
    <xf numFmtId="0" fontId="121" fillId="0" borderId="0" xfId="50" applyFont="1">
      <alignment/>
      <protection/>
    </xf>
    <xf numFmtId="0" fontId="116" fillId="0" borderId="0" xfId="50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3" fontId="21" fillId="0" borderId="0" xfId="83" applyNumberFormat="1" applyFont="1" applyBorder="1" applyAlignment="1">
      <alignment horizontal="right" vertical="center" wrapText="1"/>
      <protection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83" applyNumberFormat="1" applyFont="1" applyFill="1" applyBorder="1" applyAlignment="1">
      <alignment horizontal="right" vertical="center" wrapText="1"/>
      <protection/>
    </xf>
    <xf numFmtId="0" fontId="0" fillId="0" borderId="64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3" fontId="106" fillId="0" borderId="51" xfId="0" applyNumberFormat="1" applyFont="1" applyBorder="1" applyAlignment="1">
      <alignment vertical="center"/>
    </xf>
    <xf numFmtId="3" fontId="106" fillId="38" borderId="51" xfId="0" applyNumberFormat="1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3" fontId="106" fillId="38" borderId="53" xfId="0" applyNumberFormat="1" applyFont="1" applyFill="1" applyBorder="1" applyAlignment="1">
      <alignment vertical="center"/>
    </xf>
    <xf numFmtId="3" fontId="6" fillId="38" borderId="70" xfId="0" applyNumberFormat="1" applyFont="1" applyFill="1" applyBorder="1" applyAlignment="1">
      <alignment vertical="center"/>
    </xf>
    <xf numFmtId="3" fontId="116" fillId="0" borderId="0" xfId="50" applyNumberFormat="1" applyFont="1">
      <alignment/>
      <protection/>
    </xf>
    <xf numFmtId="0" fontId="106" fillId="0" borderId="118" xfId="50" applyFont="1" applyBorder="1" applyAlignment="1">
      <alignment horizontal="center" vertical="center" wrapText="1"/>
      <protection/>
    </xf>
    <xf numFmtId="0" fontId="106" fillId="0" borderId="119" xfId="50" applyFont="1" applyBorder="1" applyAlignment="1">
      <alignment horizontal="center" vertical="center" wrapText="1"/>
      <protection/>
    </xf>
    <xf numFmtId="0" fontId="106" fillId="0" borderId="120" xfId="50" applyFont="1" applyBorder="1" applyAlignment="1">
      <alignment horizontal="center" vertical="center" wrapText="1"/>
      <protection/>
    </xf>
    <xf numFmtId="0" fontId="8" fillId="0" borderId="0" xfId="86" applyFont="1" applyAlignment="1">
      <alignment vertical="center"/>
      <protection/>
    </xf>
    <xf numFmtId="0" fontId="10" fillId="0" borderId="0" xfId="86" applyFont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21" xfId="86" applyFont="1" applyBorder="1" applyAlignment="1">
      <alignment vertical="center"/>
      <protection/>
    </xf>
    <xf numFmtId="3" fontId="8" fillId="0" borderId="0" xfId="86" applyNumberFormat="1" applyFont="1" applyAlignment="1">
      <alignment vertical="center"/>
      <protection/>
    </xf>
    <xf numFmtId="0" fontId="11" fillId="0" borderId="0" xfId="50" applyFont="1" applyAlignment="1">
      <alignment vertical="center" wrapText="1"/>
      <protection/>
    </xf>
    <xf numFmtId="0" fontId="11" fillId="0" borderId="0" xfId="50" applyFont="1" applyAlignment="1">
      <alignment vertical="center"/>
      <protection/>
    </xf>
    <xf numFmtId="0" fontId="88" fillId="0" borderId="121" xfId="50" applyBorder="1">
      <alignment/>
      <protection/>
    </xf>
    <xf numFmtId="0" fontId="34" fillId="0" borderId="0" xfId="46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0" fontId="88" fillId="0" borderId="0" xfId="54" applyFill="1" applyBorder="1">
      <alignment/>
      <protection/>
    </xf>
    <xf numFmtId="0" fontId="40" fillId="0" borderId="0" xfId="63" applyFont="1" applyFill="1" applyBorder="1" applyAlignment="1">
      <alignment vertical="center"/>
      <protection/>
    </xf>
    <xf numFmtId="166" fontId="36" fillId="0" borderId="0" xfId="88" applyNumberFormat="1" applyFont="1" applyFill="1" applyBorder="1" applyAlignment="1" applyProtection="1">
      <alignment horizontal="center" vertical="center"/>
      <protection/>
    </xf>
    <xf numFmtId="0" fontId="41" fillId="0" borderId="0" xfId="63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vertical="center" wrapText="1"/>
      <protection/>
    </xf>
    <xf numFmtId="0" fontId="40" fillId="2" borderId="122" xfId="63" applyFont="1" applyFill="1" applyBorder="1" applyAlignment="1">
      <alignment horizontal="center" vertical="center"/>
      <protection/>
    </xf>
    <xf numFmtId="0" fontId="40" fillId="2" borderId="123" xfId="63" applyFont="1" applyFill="1" applyBorder="1" applyAlignment="1">
      <alignment horizontal="center" vertical="center"/>
      <protection/>
    </xf>
    <xf numFmtId="0" fontId="40" fillId="2" borderId="124" xfId="63" applyFont="1" applyFill="1" applyBorder="1" applyAlignment="1">
      <alignment horizontal="center" vertical="center"/>
      <protection/>
    </xf>
    <xf numFmtId="0" fontId="88" fillId="0" borderId="66" xfId="50" applyFill="1" applyBorder="1">
      <alignment/>
      <protection/>
    </xf>
    <xf numFmtId="166" fontId="41" fillId="10" borderId="87" xfId="88" applyNumberFormat="1" applyFont="1" applyFill="1" applyBorder="1" applyAlignment="1" applyProtection="1">
      <alignment horizontal="right" vertical="center"/>
      <protection/>
    </xf>
    <xf numFmtId="166" fontId="41" fillId="10" borderId="86" xfId="88" applyNumberFormat="1" applyFont="1" applyFill="1" applyBorder="1" applyAlignment="1" applyProtection="1">
      <alignment horizontal="right" vertical="center"/>
      <protection/>
    </xf>
    <xf numFmtId="0" fontId="88" fillId="0" borderId="22" xfId="50" applyFill="1" applyBorder="1">
      <alignment/>
      <protection/>
    </xf>
    <xf numFmtId="166" fontId="41" fillId="0" borderId="22" xfId="63" applyNumberFormat="1" applyFont="1" applyFill="1" applyBorder="1" applyAlignment="1">
      <alignment horizontal="center" vertical="center"/>
      <protection/>
    </xf>
    <xf numFmtId="166" fontId="41" fillId="10" borderId="112" xfId="88" applyNumberFormat="1" applyFont="1" applyFill="1" applyBorder="1" applyAlignment="1" applyProtection="1">
      <alignment horizontal="right" vertical="center"/>
      <protection/>
    </xf>
    <xf numFmtId="166" fontId="41" fillId="0" borderId="0" xfId="88" applyNumberFormat="1" applyFont="1" applyFill="1" applyBorder="1" applyAlignment="1" applyProtection="1">
      <alignment horizontal="right" vertical="center"/>
      <protection/>
    </xf>
    <xf numFmtId="166" fontId="40" fillId="0" borderId="66" xfId="63" applyNumberFormat="1" applyFont="1" applyFill="1" applyBorder="1" applyAlignment="1">
      <alignment horizontal="center" vertical="center"/>
      <protection/>
    </xf>
    <xf numFmtId="166" fontId="40" fillId="0" borderId="86" xfId="63" applyNumberFormat="1" applyFont="1" applyFill="1" applyBorder="1" applyAlignment="1">
      <alignment horizontal="center" vertical="center"/>
      <protection/>
    </xf>
    <xf numFmtId="166" fontId="41" fillId="8" borderId="125" xfId="88" applyNumberFormat="1" applyFont="1" applyFill="1" applyBorder="1" applyAlignment="1" applyProtection="1">
      <alignment horizontal="right" vertical="center"/>
      <protection/>
    </xf>
    <xf numFmtId="0" fontId="88" fillId="0" borderId="86" xfId="50" applyFill="1" applyBorder="1">
      <alignment/>
      <protection/>
    </xf>
    <xf numFmtId="166" fontId="41" fillId="0" borderId="86" xfId="63" applyNumberFormat="1" applyFont="1" applyFill="1" applyBorder="1" applyAlignment="1" applyProtection="1">
      <alignment vertical="center" wrapText="1"/>
      <protection/>
    </xf>
    <xf numFmtId="0" fontId="88" fillId="0" borderId="126" xfId="50" applyFill="1" applyBorder="1">
      <alignment/>
      <protection/>
    </xf>
    <xf numFmtId="166" fontId="41" fillId="8" borderId="112" xfId="88" applyNumberFormat="1" applyFont="1" applyFill="1" applyBorder="1" applyAlignment="1" applyProtection="1">
      <alignment horizontal="right" vertical="center"/>
      <protection/>
    </xf>
    <xf numFmtId="166" fontId="40" fillId="0" borderId="0" xfId="63" applyNumberFormat="1" applyFont="1" applyFill="1" applyBorder="1" applyAlignment="1">
      <alignment vertical="center"/>
      <protection/>
    </xf>
    <xf numFmtId="166" fontId="40" fillId="0" borderId="66" xfId="63" applyNumberFormat="1" applyFont="1" applyFill="1" applyBorder="1" applyAlignment="1">
      <alignment vertical="center"/>
      <protection/>
    </xf>
    <xf numFmtId="166" fontId="41" fillId="0" borderId="86" xfId="88" applyNumberFormat="1" applyFont="1" applyFill="1" applyBorder="1" applyAlignment="1" applyProtection="1">
      <alignment horizontal="right" vertical="center"/>
      <protection/>
    </xf>
    <xf numFmtId="166" fontId="40" fillId="0" borderId="86" xfId="63" applyNumberFormat="1" applyFont="1" applyFill="1" applyBorder="1" applyAlignment="1">
      <alignment vertical="center"/>
      <protection/>
    </xf>
    <xf numFmtId="166" fontId="41" fillId="13" borderId="86" xfId="88" applyNumberFormat="1" applyFont="1" applyFill="1" applyBorder="1" applyAlignment="1" applyProtection="1">
      <alignment horizontal="right" vertical="center"/>
      <protection/>
    </xf>
    <xf numFmtId="166" fontId="40" fillId="0" borderId="22" xfId="63" applyNumberFormat="1" applyFont="1" applyFill="1" applyBorder="1" applyAlignment="1">
      <alignment vertical="center"/>
      <protection/>
    </xf>
    <xf numFmtId="166" fontId="41" fillId="13" borderId="87" xfId="88" applyNumberFormat="1" applyFont="1" applyFill="1" applyBorder="1" applyAlignment="1" applyProtection="1">
      <alignment horizontal="right" vertical="center"/>
      <protection/>
    </xf>
    <xf numFmtId="166" fontId="41" fillId="13" borderId="112" xfId="88" applyNumberFormat="1" applyFont="1" applyFill="1" applyBorder="1" applyAlignment="1" applyProtection="1">
      <alignment horizontal="right" vertical="center"/>
      <protection/>
    </xf>
    <xf numFmtId="9" fontId="41" fillId="9" borderId="127" xfId="88" applyFont="1" applyFill="1" applyBorder="1" applyAlignment="1">
      <alignment horizontal="center" vertical="center"/>
    </xf>
    <xf numFmtId="3" fontId="124" fillId="9" borderId="112" xfId="54" applyNumberFormat="1" applyFont="1" applyFill="1" applyBorder="1" applyAlignment="1">
      <alignment vertical="center"/>
      <protection/>
    </xf>
    <xf numFmtId="0" fontId="88" fillId="0" borderId="99" xfId="50" applyFill="1" applyBorder="1">
      <alignment/>
      <protection/>
    </xf>
    <xf numFmtId="166" fontId="41" fillId="0" borderId="46" xfId="88" applyNumberFormat="1" applyFont="1" applyFill="1" applyBorder="1" applyAlignment="1" applyProtection="1">
      <alignment horizontal="right" vertical="center"/>
      <protection/>
    </xf>
    <xf numFmtId="166" fontId="41" fillId="0" borderId="92" xfId="88" applyNumberFormat="1" applyFont="1" applyFill="1" applyBorder="1" applyAlignment="1" applyProtection="1">
      <alignment horizontal="right" vertical="center"/>
      <protection/>
    </xf>
    <xf numFmtId="0" fontId="88" fillId="0" borderId="48" xfId="50" applyFill="1" applyBorder="1">
      <alignment/>
      <protection/>
    </xf>
    <xf numFmtId="0" fontId="40" fillId="0" borderId="48" xfId="63" applyFont="1" applyFill="1" applyBorder="1" applyAlignment="1">
      <alignment horizontal="center" vertical="center" wrapText="1"/>
      <protection/>
    </xf>
    <xf numFmtId="166" fontId="41" fillId="0" borderId="84" xfId="88" applyNumberFormat="1" applyFont="1" applyFill="1" applyBorder="1" applyAlignment="1" applyProtection="1">
      <alignment horizontal="right" vertical="center"/>
      <protection/>
    </xf>
    <xf numFmtId="0" fontId="40" fillId="0" borderId="128" xfId="63" applyFont="1" applyFill="1" applyBorder="1" applyAlignment="1">
      <alignment horizontal="center" vertical="center" wrapText="1"/>
      <protection/>
    </xf>
    <xf numFmtId="0" fontId="40" fillId="0" borderId="129" xfId="63" applyFont="1" applyFill="1" applyBorder="1" applyAlignment="1">
      <alignment horizontal="center" vertical="center" wrapText="1"/>
      <protection/>
    </xf>
    <xf numFmtId="166" fontId="41" fillId="0" borderId="130" xfId="88" applyNumberFormat="1" applyFont="1" applyFill="1" applyBorder="1" applyAlignment="1" applyProtection="1">
      <alignment horizontal="right" vertical="center"/>
      <protection/>
    </xf>
    <xf numFmtId="166" fontId="41" fillId="0" borderId="131" xfId="88" applyNumberFormat="1" applyFont="1" applyFill="1" applyBorder="1" applyAlignment="1" applyProtection="1">
      <alignment horizontal="right" vertical="center"/>
      <protection/>
    </xf>
    <xf numFmtId="0" fontId="88" fillId="0" borderId="132" xfId="50" applyFill="1" applyBorder="1">
      <alignment/>
      <protection/>
    </xf>
    <xf numFmtId="0" fontId="40" fillId="0" borderId="0" xfId="63" applyFont="1" applyFill="1" applyBorder="1" applyAlignment="1">
      <alignment horizontal="center" vertical="center" wrapText="1"/>
      <protection/>
    </xf>
    <xf numFmtId="49" fontId="40" fillId="0" borderId="80" xfId="63" applyNumberFormat="1" applyFont="1" applyFill="1" applyBorder="1" applyAlignment="1" applyProtection="1">
      <alignment horizontal="center" vertical="center"/>
      <protection/>
    </xf>
    <xf numFmtId="49" fontId="41" fillId="0" borderId="81" xfId="63" applyNumberFormat="1" applyFont="1" applyFill="1" applyBorder="1" applyAlignment="1" applyProtection="1">
      <alignment horizontal="left" vertical="center"/>
      <protection/>
    </xf>
    <xf numFmtId="3" fontId="40" fillId="0" borderId="80" xfId="63" applyNumberFormat="1" applyFont="1" applyFill="1" applyBorder="1" applyAlignment="1" applyProtection="1">
      <alignment horizontal="right" vertical="center"/>
      <protection/>
    </xf>
    <xf numFmtId="166" fontId="41" fillId="0" borderId="60" xfId="88" applyNumberFormat="1" applyFont="1" applyFill="1" applyBorder="1" applyAlignment="1" applyProtection="1">
      <alignment horizontal="right" vertical="center"/>
      <protection/>
    </xf>
    <xf numFmtId="49" fontId="41" fillId="0" borderId="59" xfId="63" applyNumberFormat="1" applyFont="1" applyFill="1" applyBorder="1" applyAlignment="1" applyProtection="1">
      <alignment horizontal="left" vertical="center"/>
      <protection/>
    </xf>
    <xf numFmtId="166" fontId="41" fillId="0" borderId="59" xfId="88" applyNumberFormat="1" applyFont="1" applyFill="1" applyBorder="1" applyAlignment="1" applyProtection="1">
      <alignment horizontal="right" vertical="center"/>
      <protection/>
    </xf>
    <xf numFmtId="0" fontId="40" fillId="0" borderId="59" xfId="63" applyFont="1" applyFill="1" applyBorder="1" applyAlignment="1">
      <alignment vertical="center"/>
      <protection/>
    </xf>
    <xf numFmtId="166" fontId="41" fillId="0" borderId="81" xfId="88" applyNumberFormat="1" applyFont="1" applyFill="1" applyBorder="1" applyAlignment="1" applyProtection="1">
      <alignment horizontal="right" vertical="center"/>
      <protection/>
    </xf>
    <xf numFmtId="0" fontId="88" fillId="0" borderId="133" xfId="50" applyFill="1" applyBorder="1">
      <alignment/>
      <protection/>
    </xf>
    <xf numFmtId="0" fontId="88" fillId="0" borderId="134" xfId="50" applyFill="1" applyBorder="1">
      <alignment/>
      <protection/>
    </xf>
    <xf numFmtId="166" fontId="41" fillId="0" borderId="135" xfId="88" applyNumberFormat="1" applyFont="1" applyFill="1" applyBorder="1" applyAlignment="1" applyProtection="1">
      <alignment horizontal="right" vertical="center"/>
      <protection/>
    </xf>
    <xf numFmtId="166" fontId="41" fillId="0" borderId="136" xfId="88" applyNumberFormat="1" applyFont="1" applyFill="1" applyBorder="1" applyAlignment="1" applyProtection="1">
      <alignment horizontal="right" vertical="center"/>
      <protection/>
    </xf>
    <xf numFmtId="0" fontId="40" fillId="0" borderId="137" xfId="63" applyFont="1" applyFill="1" applyBorder="1" applyAlignment="1">
      <alignment vertical="center"/>
      <protection/>
    </xf>
    <xf numFmtId="166" fontId="40" fillId="0" borderId="137" xfId="63" applyNumberFormat="1" applyFont="1" applyFill="1" applyBorder="1" applyAlignment="1">
      <alignment horizontal="center" vertical="center"/>
      <protection/>
    </xf>
    <xf numFmtId="0" fontId="40" fillId="0" borderId="80" xfId="63" applyFont="1" applyFill="1" applyBorder="1" applyAlignment="1">
      <alignment vertical="center"/>
      <protection/>
    </xf>
    <xf numFmtId="10" fontId="40" fillId="0" borderId="133" xfId="88" applyNumberFormat="1" applyFont="1" applyFill="1" applyBorder="1" applyAlignment="1" applyProtection="1">
      <alignment horizontal="right" vertical="center"/>
      <protection/>
    </xf>
    <xf numFmtId="3" fontId="40" fillId="0" borderId="138" xfId="63" applyNumberFormat="1" applyFont="1" applyFill="1" applyBorder="1" applyAlignment="1">
      <alignment vertical="center"/>
      <protection/>
    </xf>
    <xf numFmtId="0" fontId="40" fillId="0" borderId="137" xfId="63" applyFont="1" applyFill="1" applyBorder="1" applyAlignment="1">
      <alignment horizontal="center" vertical="center"/>
      <protection/>
    </xf>
    <xf numFmtId="166" fontId="43" fillId="0" borderId="59" xfId="88" applyNumberFormat="1" applyFont="1" applyFill="1" applyBorder="1" applyAlignment="1" applyProtection="1">
      <alignment horizontal="right" vertical="center"/>
      <protection/>
    </xf>
    <xf numFmtId="3" fontId="40" fillId="0" borderId="80" xfId="63" applyNumberFormat="1" applyFont="1" applyFill="1" applyBorder="1" applyAlignment="1">
      <alignment horizontal="right" vertical="center"/>
      <protection/>
    </xf>
    <xf numFmtId="49" fontId="40" fillId="0" borderId="139" xfId="63" applyNumberFormat="1" applyFont="1" applyFill="1" applyBorder="1" applyAlignment="1" applyProtection="1">
      <alignment horizontal="center" vertical="center"/>
      <protection/>
    </xf>
    <xf numFmtId="49" fontId="41" fillId="0" borderId="140" xfId="63" applyNumberFormat="1" applyFont="1" applyFill="1" applyBorder="1" applyAlignment="1" applyProtection="1">
      <alignment horizontal="left" vertical="center"/>
      <protection/>
    </xf>
    <xf numFmtId="3" fontId="40" fillId="0" borderId="139" xfId="63" applyNumberFormat="1" applyFont="1" applyFill="1" applyBorder="1" applyAlignment="1" applyProtection="1">
      <alignment horizontal="right" vertical="center"/>
      <protection/>
    </xf>
    <xf numFmtId="166" fontId="41" fillId="0" borderId="79" xfId="88" applyNumberFormat="1" applyFont="1" applyFill="1" applyBorder="1" applyAlignment="1" applyProtection="1">
      <alignment horizontal="right" vertical="center"/>
      <protection/>
    </xf>
    <xf numFmtId="49" fontId="41" fillId="0" borderId="78" xfId="63" applyNumberFormat="1" applyFont="1" applyFill="1" applyBorder="1" applyAlignment="1" applyProtection="1">
      <alignment horizontal="left" vertical="center"/>
      <protection/>
    </xf>
    <xf numFmtId="166" fontId="41" fillId="0" borderId="140" xfId="88" applyNumberFormat="1" applyFont="1" applyFill="1" applyBorder="1" applyAlignment="1" applyProtection="1">
      <alignment horizontal="right" vertical="center"/>
      <protection/>
    </xf>
    <xf numFmtId="0" fontId="88" fillId="0" borderId="141" xfId="50" applyFill="1" applyBorder="1">
      <alignment/>
      <protection/>
    </xf>
    <xf numFmtId="0" fontId="88" fillId="0" borderId="142" xfId="50" applyFill="1" applyBorder="1">
      <alignment/>
      <protection/>
    </xf>
    <xf numFmtId="0" fontId="40" fillId="0" borderId="78" xfId="63" applyFont="1" applyFill="1" applyBorder="1" applyAlignment="1">
      <alignment vertical="center"/>
      <protection/>
    </xf>
    <xf numFmtId="166" fontId="41" fillId="0" borderId="143" xfId="88" applyNumberFormat="1" applyFont="1" applyFill="1" applyBorder="1" applyAlignment="1" applyProtection="1">
      <alignment horizontal="right" vertical="center"/>
      <protection/>
    </xf>
    <xf numFmtId="0" fontId="40" fillId="0" borderId="144" xfId="63" applyFont="1" applyFill="1" applyBorder="1" applyAlignment="1">
      <alignment vertical="center"/>
      <protection/>
    </xf>
    <xf numFmtId="166" fontId="41" fillId="0" borderId="94" xfId="88" applyNumberFormat="1" applyFont="1" applyFill="1" applyBorder="1" applyAlignment="1" applyProtection="1">
      <alignment horizontal="right" vertical="center"/>
      <protection/>
    </xf>
    <xf numFmtId="0" fontId="40" fillId="0" borderId="144" xfId="63" applyFont="1" applyFill="1" applyBorder="1" applyAlignment="1">
      <alignment horizontal="center" vertical="center"/>
      <protection/>
    </xf>
    <xf numFmtId="0" fontId="40" fillId="0" borderId="139" xfId="63" applyFont="1" applyFill="1" applyBorder="1" applyAlignment="1">
      <alignment vertical="center"/>
      <protection/>
    </xf>
    <xf numFmtId="166" fontId="40" fillId="0" borderId="144" xfId="63" applyNumberFormat="1" applyFont="1" applyFill="1" applyBorder="1" applyAlignment="1">
      <alignment horizontal="center" vertical="center"/>
      <protection/>
    </xf>
    <xf numFmtId="10" fontId="40" fillId="0" borderId="141" xfId="88" applyNumberFormat="1" applyFont="1" applyFill="1" applyBorder="1" applyAlignment="1" applyProtection="1">
      <alignment horizontal="right" vertical="center"/>
      <protection/>
    </xf>
    <xf numFmtId="3" fontId="40" fillId="0" borderId="145" xfId="63" applyNumberFormat="1" applyFont="1" applyFill="1" applyBorder="1" applyAlignment="1">
      <alignment vertical="center"/>
      <protection/>
    </xf>
    <xf numFmtId="0" fontId="88" fillId="0" borderId="0" xfId="50" applyFill="1" applyBorder="1">
      <alignment/>
      <protection/>
    </xf>
    <xf numFmtId="170" fontId="40" fillId="0" borderId="0" xfId="63" applyNumberFormat="1" applyFont="1" applyFill="1" applyBorder="1" applyAlignment="1">
      <alignment vertical="center"/>
      <protection/>
    </xf>
    <xf numFmtId="0" fontId="0" fillId="0" borderId="0" xfId="71" applyFill="1" applyBorder="1">
      <alignment/>
      <protection/>
    </xf>
    <xf numFmtId="49" fontId="41" fillId="0" borderId="61" xfId="63" applyNumberFormat="1" applyFont="1" applyFill="1" applyBorder="1" applyAlignment="1" applyProtection="1">
      <alignment horizontal="center" vertical="center"/>
      <protection/>
    </xf>
    <xf numFmtId="49" fontId="41" fillId="0" borderId="52" xfId="63" applyNumberFormat="1" applyFont="1" applyFill="1" applyBorder="1" applyAlignment="1" applyProtection="1">
      <alignment horizontal="left" vertical="center"/>
      <protection/>
    </xf>
    <xf numFmtId="170" fontId="40" fillId="0" borderId="61" xfId="63" applyNumberFormat="1" applyFont="1" applyFill="1" applyBorder="1" applyAlignment="1" applyProtection="1">
      <alignment horizontal="right" vertical="center"/>
      <protection/>
    </xf>
    <xf numFmtId="166" fontId="40" fillId="0" borderId="146" xfId="88" applyNumberFormat="1" applyFont="1" applyFill="1" applyBorder="1" applyAlignment="1" applyProtection="1">
      <alignment horizontal="right" vertical="center"/>
      <protection/>
    </xf>
    <xf numFmtId="170" fontId="40" fillId="0" borderId="147" xfId="63" applyNumberFormat="1" applyFont="1" applyFill="1" applyBorder="1" applyAlignment="1" applyProtection="1">
      <alignment horizontal="right" vertical="center"/>
      <protection/>
    </xf>
    <xf numFmtId="166" fontId="40" fillId="0" borderId="52" xfId="88" applyNumberFormat="1" applyFont="1" applyFill="1" applyBorder="1" applyAlignment="1" applyProtection="1">
      <alignment horizontal="right" vertical="center"/>
      <protection/>
    </xf>
    <xf numFmtId="166" fontId="40" fillId="0" borderId="16" xfId="88" applyNumberFormat="1" applyFont="1" applyFill="1" applyBorder="1" applyAlignment="1" applyProtection="1">
      <alignment horizontal="right" vertical="center"/>
      <protection/>
    </xf>
    <xf numFmtId="170" fontId="40" fillId="0" borderId="17" xfId="63" applyNumberFormat="1" applyFont="1" applyFill="1" applyBorder="1" applyAlignment="1" applyProtection="1">
      <alignment horizontal="right" vertical="center"/>
      <protection/>
    </xf>
    <xf numFmtId="49" fontId="40" fillId="0" borderId="100" xfId="63" applyNumberFormat="1" applyFont="1" applyFill="1" applyBorder="1" applyAlignment="1" applyProtection="1">
      <alignment horizontal="center" vertical="center"/>
      <protection/>
    </xf>
    <xf numFmtId="49" fontId="41" fillId="0" borderId="148" xfId="63" applyNumberFormat="1" applyFont="1" applyFill="1" applyBorder="1" applyAlignment="1" applyProtection="1">
      <alignment horizontal="left" vertical="center"/>
      <protection/>
    </xf>
    <xf numFmtId="170" fontId="40" fillId="0" borderId="80" xfId="63" applyNumberFormat="1" applyFont="1" applyFill="1" applyBorder="1" applyAlignment="1" applyProtection="1">
      <alignment horizontal="right" vertical="center"/>
      <protection/>
    </xf>
    <xf numFmtId="166" fontId="40" fillId="0" borderId="149" xfId="88" applyNumberFormat="1" applyFont="1" applyFill="1" applyBorder="1" applyAlignment="1" applyProtection="1">
      <alignment horizontal="right" vertical="center"/>
      <protection/>
    </xf>
    <xf numFmtId="170" fontId="40" fillId="0" borderId="137" xfId="63" applyNumberFormat="1" applyFont="1" applyFill="1" applyBorder="1" applyAlignment="1" applyProtection="1">
      <alignment horizontal="right" vertical="center"/>
      <protection/>
    </xf>
    <xf numFmtId="3" fontId="40" fillId="0" borderId="137" xfId="88" applyNumberFormat="1" applyFont="1" applyFill="1" applyBorder="1" applyAlignment="1" applyProtection="1">
      <alignment horizontal="right" vertical="center"/>
      <protection/>
    </xf>
    <xf numFmtId="166" fontId="40" fillId="0" borderId="81" xfId="88" applyNumberFormat="1" applyFont="1" applyFill="1" applyBorder="1" applyAlignment="1" applyProtection="1">
      <alignment horizontal="right" vertical="center"/>
      <protection/>
    </xf>
    <xf numFmtId="166" fontId="40" fillId="0" borderId="136" xfId="88" applyNumberFormat="1" applyFont="1" applyFill="1" applyBorder="1" applyAlignment="1" applyProtection="1">
      <alignment horizontal="right" vertical="center"/>
      <protection/>
    </xf>
    <xf numFmtId="166" fontId="40" fillId="0" borderId="60" xfId="88" applyNumberFormat="1" applyFont="1" applyFill="1" applyBorder="1" applyAlignment="1" applyProtection="1">
      <alignment horizontal="right" vertical="center"/>
      <protection/>
    </xf>
    <xf numFmtId="170" fontId="40" fillId="0" borderId="0" xfId="63" applyNumberFormat="1" applyFont="1" applyFill="1" applyBorder="1" applyAlignment="1" applyProtection="1">
      <alignment horizontal="right" vertical="center"/>
      <protection/>
    </xf>
    <xf numFmtId="170" fontId="40" fillId="0" borderId="59" xfId="63" applyNumberFormat="1" applyFont="1" applyFill="1" applyBorder="1" applyAlignment="1" applyProtection="1">
      <alignment horizontal="right" vertical="center"/>
      <protection/>
    </xf>
    <xf numFmtId="49" fontId="40" fillId="0" borderId="57" xfId="63" applyNumberFormat="1" applyFont="1" applyFill="1" applyBorder="1" applyAlignment="1" applyProtection="1">
      <alignment horizontal="center" vertical="center"/>
      <protection/>
    </xf>
    <xf numFmtId="49" fontId="41" fillId="0" borderId="150" xfId="63" applyNumberFormat="1" applyFont="1" applyFill="1" applyBorder="1" applyAlignment="1" applyProtection="1">
      <alignment horizontal="left" vertical="center"/>
      <protection/>
    </xf>
    <xf numFmtId="170" fontId="40" fillId="0" borderId="57" xfId="63" applyNumberFormat="1" applyFont="1" applyFill="1" applyBorder="1" applyAlignment="1" applyProtection="1">
      <alignment horizontal="right" vertical="center"/>
      <protection/>
    </xf>
    <xf numFmtId="166" fontId="40" fillId="0" borderId="151" xfId="88" applyNumberFormat="1" applyFont="1" applyFill="1" applyBorder="1" applyAlignment="1" applyProtection="1">
      <alignment horizontal="right" vertical="center"/>
      <protection/>
    </xf>
    <xf numFmtId="170" fontId="40" fillId="0" borderId="152" xfId="63" applyNumberFormat="1" applyFont="1" applyFill="1" applyBorder="1" applyAlignment="1" applyProtection="1">
      <alignment horizontal="right" vertical="center"/>
      <protection/>
    </xf>
    <xf numFmtId="3" fontId="40" fillId="0" borderId="152" xfId="88" applyNumberFormat="1" applyFont="1" applyFill="1" applyBorder="1" applyAlignment="1" applyProtection="1">
      <alignment horizontal="right" vertical="center"/>
      <protection/>
    </xf>
    <xf numFmtId="166" fontId="40" fillId="0" borderId="150" xfId="88" applyNumberFormat="1" applyFont="1" applyFill="1" applyBorder="1" applyAlignment="1" applyProtection="1">
      <alignment horizontal="right" vertical="center"/>
      <protection/>
    </xf>
    <xf numFmtId="166" fontId="40" fillId="0" borderId="56" xfId="88" applyNumberFormat="1" applyFont="1" applyFill="1" applyBorder="1" applyAlignment="1" applyProtection="1">
      <alignment horizontal="right" vertical="center"/>
      <protection/>
    </xf>
    <xf numFmtId="170" fontId="40" fillId="0" borderId="28" xfId="63" applyNumberFormat="1" applyFont="1" applyFill="1" applyBorder="1" applyAlignment="1" applyProtection="1">
      <alignment horizontal="right" vertical="center"/>
      <protection/>
    </xf>
    <xf numFmtId="170" fontId="40" fillId="0" borderId="25" xfId="63" applyNumberFormat="1" applyFont="1" applyFill="1" applyBorder="1" applyAlignment="1" applyProtection="1">
      <alignment horizontal="right" vertical="center"/>
      <protection/>
    </xf>
    <xf numFmtId="0" fontId="0" fillId="0" borderId="28" xfId="63" applyFont="1" applyFill="1" applyBorder="1" applyAlignment="1">
      <alignment vertical="center"/>
      <protection/>
    </xf>
    <xf numFmtId="166" fontId="40" fillId="0" borderId="16" xfId="63" applyNumberFormat="1" applyFont="1" applyFill="1" applyBorder="1" applyAlignment="1" applyProtection="1">
      <alignment horizontal="right" vertical="center"/>
      <protection/>
    </xf>
    <xf numFmtId="166" fontId="40" fillId="0" borderId="17" xfId="63" applyNumberFormat="1" applyFont="1" applyFill="1" applyBorder="1" applyAlignment="1" applyProtection="1">
      <alignment horizontal="right" vertical="center"/>
      <protection/>
    </xf>
    <xf numFmtId="170" fontId="40" fillId="0" borderId="14" xfId="63" applyNumberFormat="1" applyFont="1" applyFill="1" applyBorder="1" applyAlignment="1" applyProtection="1">
      <alignment horizontal="right" vertical="center"/>
      <protection/>
    </xf>
    <xf numFmtId="170" fontId="40" fillId="0" borderId="153" xfId="63" applyNumberFormat="1" applyFont="1" applyFill="1" applyBorder="1" applyAlignment="1" applyProtection="1">
      <alignment horizontal="right" vertical="center"/>
      <protection/>
    </xf>
    <xf numFmtId="170" fontId="40" fillId="0" borderId="154" xfId="63" applyNumberFormat="1" applyFont="1" applyFill="1" applyBorder="1" applyAlignment="1" applyProtection="1">
      <alignment horizontal="right" vertical="center"/>
      <protection/>
    </xf>
    <xf numFmtId="166" fontId="40" fillId="0" borderId="155" xfId="88" applyNumberFormat="1" applyFont="1" applyFill="1" applyBorder="1" applyAlignment="1" applyProtection="1">
      <alignment horizontal="right" vertical="center"/>
      <protection/>
    </xf>
    <xf numFmtId="166" fontId="40" fillId="0" borderId="0" xfId="88" applyNumberFormat="1" applyFont="1" applyFill="1" applyBorder="1" applyAlignment="1" applyProtection="1">
      <alignment horizontal="right" vertical="center"/>
      <protection/>
    </xf>
    <xf numFmtId="171" fontId="40" fillId="0" borderId="133" xfId="63" applyNumberFormat="1" applyFont="1" applyFill="1" applyBorder="1" applyAlignment="1" applyProtection="1">
      <alignment horizontal="right" vertical="center"/>
      <protection/>
    </xf>
    <xf numFmtId="171" fontId="40" fillId="0" borderId="134" xfId="63" applyNumberFormat="1" applyFont="1" applyFill="1" applyBorder="1" applyAlignment="1" applyProtection="1">
      <alignment horizontal="right" vertical="center"/>
      <protection/>
    </xf>
    <xf numFmtId="170" fontId="40" fillId="0" borderId="134" xfId="63" applyNumberFormat="1" applyFont="1" applyFill="1" applyBorder="1" applyAlignment="1" applyProtection="1">
      <alignment horizontal="right" vertical="center"/>
      <protection/>
    </xf>
    <xf numFmtId="166" fontId="40" fillId="0" borderId="138" xfId="88" applyNumberFormat="1" applyFont="1" applyFill="1" applyBorder="1" applyAlignment="1" applyProtection="1">
      <alignment horizontal="right" vertical="center"/>
      <protection/>
    </xf>
    <xf numFmtId="166" fontId="40" fillId="0" borderId="28" xfId="88" applyNumberFormat="1" applyFont="1" applyFill="1" applyBorder="1" applyAlignment="1" applyProtection="1">
      <alignment horizontal="right" vertical="center"/>
      <protection/>
    </xf>
    <xf numFmtId="171" fontId="40" fillId="0" borderId="156" xfId="63" applyNumberFormat="1" applyFont="1" applyFill="1" applyBorder="1" applyAlignment="1" applyProtection="1">
      <alignment horizontal="right" vertical="center"/>
      <protection/>
    </xf>
    <xf numFmtId="171" fontId="40" fillId="0" borderId="157" xfId="63" applyNumberFormat="1" applyFont="1" applyFill="1" applyBorder="1" applyAlignment="1" applyProtection="1">
      <alignment horizontal="right" vertical="center"/>
      <protection/>
    </xf>
    <xf numFmtId="170" fontId="40" fillId="0" borderId="157" xfId="63" applyNumberFormat="1" applyFont="1" applyFill="1" applyBorder="1" applyAlignment="1" applyProtection="1">
      <alignment horizontal="right" vertical="center"/>
      <protection/>
    </xf>
    <xf numFmtId="166" fontId="40" fillId="0" borderId="158" xfId="88" applyNumberFormat="1" applyFont="1" applyFill="1" applyBorder="1" applyAlignment="1" applyProtection="1">
      <alignment horizontal="right" vertical="center"/>
      <protection/>
    </xf>
    <xf numFmtId="0" fontId="0" fillId="0" borderId="17" xfId="63" applyFont="1" applyFill="1" applyBorder="1" applyAlignment="1">
      <alignment vertical="center"/>
      <protection/>
    </xf>
    <xf numFmtId="166" fontId="40" fillId="0" borderId="52" xfId="63" applyNumberFormat="1" applyFont="1" applyFill="1" applyBorder="1" applyAlignment="1" applyProtection="1">
      <alignment horizontal="right" vertical="center"/>
      <protection/>
    </xf>
    <xf numFmtId="171" fontId="40" fillId="0" borderId="153" xfId="63" applyNumberFormat="1" applyFont="1" applyFill="1" applyBorder="1" applyAlignment="1" applyProtection="1">
      <alignment horizontal="right" vertical="center"/>
      <protection/>
    </xf>
    <xf numFmtId="171" fontId="40" fillId="0" borderId="154" xfId="63" applyNumberFormat="1" applyFont="1" applyFill="1" applyBorder="1" applyAlignment="1" applyProtection="1">
      <alignment horizontal="right" vertical="center"/>
      <protection/>
    </xf>
    <xf numFmtId="166" fontId="40" fillId="0" borderId="17" xfId="88" applyNumberFormat="1" applyFont="1" applyFill="1" applyBorder="1" applyAlignment="1" applyProtection="1">
      <alignment horizontal="right" vertical="center"/>
      <protection/>
    </xf>
    <xf numFmtId="170" fontId="40" fillId="0" borderId="91" xfId="63" applyNumberFormat="1" applyFont="1" applyFill="1" applyBorder="1" applyAlignment="1" applyProtection="1">
      <alignment horizontal="right" vertical="center"/>
      <protection/>
    </xf>
    <xf numFmtId="10" fontId="40" fillId="0" borderId="0" xfId="63" applyNumberFormat="1" applyFont="1" applyFill="1" applyBorder="1" applyAlignment="1">
      <alignment vertical="center"/>
      <protection/>
    </xf>
    <xf numFmtId="170" fontId="0" fillId="0" borderId="0" xfId="63" applyNumberFormat="1" applyFont="1" applyFill="1" applyBorder="1" applyAlignment="1">
      <alignment vertical="center"/>
      <protection/>
    </xf>
    <xf numFmtId="172" fontId="44" fillId="0" borderId="0" xfId="63" applyNumberFormat="1" applyFont="1" applyFill="1" applyBorder="1" applyAlignment="1">
      <alignment horizontal="center" vertical="center"/>
      <protection/>
    </xf>
    <xf numFmtId="172" fontId="45" fillId="0" borderId="0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4" fontId="0" fillId="0" borderId="0" xfId="63" applyNumberFormat="1" applyFont="1" applyFill="1" applyBorder="1" applyAlignment="1">
      <alignment vertical="center"/>
      <protection/>
    </xf>
    <xf numFmtId="164" fontId="0" fillId="0" borderId="0" xfId="63" applyNumberFormat="1" applyFont="1" applyFill="1" applyBorder="1" applyAlignment="1">
      <alignment vertical="center"/>
      <protection/>
    </xf>
    <xf numFmtId="3" fontId="106" fillId="39" borderId="13" xfId="54" applyNumberFormat="1" applyFont="1" applyFill="1" applyBorder="1" applyAlignment="1">
      <alignment vertical="center"/>
      <protection/>
    </xf>
    <xf numFmtId="3" fontId="0" fillId="39" borderId="64" xfId="63" applyNumberFormat="1" applyFont="1" applyFill="1" applyBorder="1" applyAlignment="1">
      <alignment vertical="center"/>
      <protection/>
    </xf>
    <xf numFmtId="0" fontId="125" fillId="0" borderId="0" xfId="54" applyFont="1" applyAlignment="1">
      <alignment vertical="center"/>
      <protection/>
    </xf>
    <xf numFmtId="0" fontId="0" fillId="0" borderId="0" xfId="46" applyFill="1" applyAlignment="1">
      <alignment vertical="center"/>
      <protection/>
    </xf>
    <xf numFmtId="164" fontId="0" fillId="0" borderId="0" xfId="46" applyNumberFormat="1" applyAlignment="1">
      <alignment horizontal="center" vertical="center"/>
      <protection/>
    </xf>
    <xf numFmtId="3" fontId="0" fillId="0" borderId="0" xfId="46" applyNumberFormat="1" applyAlignment="1">
      <alignment vertical="center"/>
      <protection/>
    </xf>
    <xf numFmtId="0" fontId="0" fillId="0" borderId="0" xfId="46" applyAlignment="1">
      <alignment horizontal="center" vertical="center"/>
      <protection/>
    </xf>
    <xf numFmtId="0" fontId="88" fillId="0" borderId="0" xfId="78" applyFill="1" applyAlignment="1">
      <alignment vertical="center"/>
      <protection/>
    </xf>
    <xf numFmtId="0" fontId="0" fillId="0" borderId="12" xfId="46" applyFill="1" applyBorder="1" applyAlignment="1">
      <alignment horizontal="center" vertical="center" wrapText="1"/>
      <protection/>
    </xf>
    <xf numFmtId="0" fontId="0" fillId="0" borderId="10" xfId="46" applyFill="1" applyBorder="1" applyAlignment="1">
      <alignment horizontal="center" vertical="center" wrapText="1"/>
      <protection/>
    </xf>
    <xf numFmtId="0" fontId="0" fillId="0" borderId="40" xfId="46" applyFill="1" applyBorder="1" applyAlignment="1">
      <alignment horizontal="center" vertical="center" wrapText="1"/>
      <protection/>
    </xf>
    <xf numFmtId="3" fontId="0" fillId="0" borderId="10" xfId="46" applyNumberFormat="1" applyFill="1" applyBorder="1" applyAlignment="1">
      <alignment horizontal="center" vertical="center" wrapText="1"/>
      <protection/>
    </xf>
    <xf numFmtId="0" fontId="0" fillId="0" borderId="159" xfId="46" applyFill="1" applyBorder="1" applyAlignment="1">
      <alignment horizontal="center" vertical="center" wrapText="1"/>
      <protection/>
    </xf>
    <xf numFmtId="0" fontId="0" fillId="0" borderId="160" xfId="46" applyFill="1" applyBorder="1" applyAlignment="1">
      <alignment horizontal="center" vertical="center" wrapText="1"/>
      <protection/>
    </xf>
    <xf numFmtId="0" fontId="0" fillId="0" borderId="42" xfId="46" applyFill="1" applyBorder="1" applyAlignment="1">
      <alignment horizontal="center" vertical="center" wrapText="1"/>
      <protection/>
    </xf>
    <xf numFmtId="0" fontId="0" fillId="0" borderId="13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61" xfId="46" applyBorder="1" applyAlignment="1">
      <alignment horizontal="center" vertical="center"/>
      <protection/>
    </xf>
    <xf numFmtId="0" fontId="0" fillId="0" borderId="162" xfId="46" applyBorder="1" applyAlignment="1">
      <alignment horizontal="center" vertical="center"/>
      <protection/>
    </xf>
    <xf numFmtId="0" fontId="0" fillId="0" borderId="16" xfId="46" applyBorder="1" applyAlignment="1">
      <alignment horizontal="center" vertical="center"/>
      <protection/>
    </xf>
    <xf numFmtId="3" fontId="0" fillId="0" borderId="13" xfId="46" applyNumberFormat="1" applyBorder="1" applyAlignment="1">
      <alignment horizontal="center" vertical="center"/>
      <protection/>
    </xf>
    <xf numFmtId="0" fontId="0" fillId="0" borderId="17" xfId="46" applyBorder="1" applyAlignment="1">
      <alignment horizontal="center" vertical="center"/>
      <protection/>
    </xf>
    <xf numFmtId="0" fontId="0" fillId="0" borderId="163" xfId="46" applyBorder="1" applyAlignment="1">
      <alignment horizontal="center" vertical="center"/>
      <protection/>
    </xf>
    <xf numFmtId="0" fontId="0" fillId="0" borderId="18" xfId="46" applyBorder="1" applyAlignment="1">
      <alignment horizontal="center" vertical="center"/>
      <protection/>
    </xf>
    <xf numFmtId="0" fontId="0" fillId="0" borderId="13" xfId="46" applyBorder="1" applyAlignment="1">
      <alignment vertical="center"/>
      <protection/>
    </xf>
    <xf numFmtId="0" fontId="0" fillId="0" borderId="14" xfId="46" applyBorder="1" applyAlignment="1">
      <alignment vertical="center"/>
      <protection/>
    </xf>
    <xf numFmtId="164" fontId="0" fillId="0" borderId="15" xfId="46" applyNumberFormat="1" applyBorder="1" applyAlignment="1">
      <alignment horizontal="center" vertical="center"/>
      <protection/>
    </xf>
    <xf numFmtId="0" fontId="0" fillId="0" borderId="161" xfId="46" applyBorder="1" applyAlignment="1">
      <alignment vertical="center"/>
      <protection/>
    </xf>
    <xf numFmtId="0" fontId="0" fillId="0" borderId="162" xfId="46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7" xfId="46" applyBorder="1" applyAlignment="1">
      <alignment vertical="center"/>
      <protection/>
    </xf>
    <xf numFmtId="0" fontId="0" fillId="0" borderId="163" xfId="46" applyBorder="1" applyAlignment="1">
      <alignment vertical="center"/>
      <protection/>
    </xf>
    <xf numFmtId="0" fontId="0" fillId="0" borderId="18" xfId="46" applyBorder="1" applyAlignment="1">
      <alignment vertical="center"/>
      <protection/>
    </xf>
    <xf numFmtId="0" fontId="0" fillId="0" borderId="13" xfId="46" applyFill="1" applyBorder="1" applyAlignment="1">
      <alignment vertical="center"/>
      <protection/>
    </xf>
    <xf numFmtId="164" fontId="0" fillId="0" borderId="161" xfId="46" applyNumberFormat="1" applyBorder="1" applyAlignment="1">
      <alignment vertical="center"/>
      <protection/>
    </xf>
    <xf numFmtId="3" fontId="0" fillId="0" borderId="163" xfId="46" applyNumberFormat="1" applyFill="1" applyBorder="1" applyAlignment="1">
      <alignment vertical="center"/>
      <protection/>
    </xf>
    <xf numFmtId="164" fontId="0" fillId="0" borderId="161" xfId="46" applyNumberFormat="1" applyFill="1" applyBorder="1" applyAlignment="1">
      <alignment vertical="center"/>
      <protection/>
    </xf>
    <xf numFmtId="0" fontId="0" fillId="0" borderId="19" xfId="46" applyFill="1" applyBorder="1" applyAlignment="1">
      <alignment vertical="center"/>
      <protection/>
    </xf>
    <xf numFmtId="164" fontId="0" fillId="33" borderId="164" xfId="46" applyNumberFormat="1" applyFill="1" applyBorder="1" applyAlignment="1">
      <alignment vertical="center"/>
      <protection/>
    </xf>
    <xf numFmtId="164" fontId="0" fillId="33" borderId="165" xfId="46" applyNumberFormat="1" applyFill="1" applyBorder="1" applyAlignment="1">
      <alignment vertical="center"/>
      <protection/>
    </xf>
    <xf numFmtId="3" fontId="0" fillId="33" borderId="21" xfId="46" applyNumberFormat="1" applyFill="1" applyBorder="1" applyAlignment="1">
      <alignment vertical="center"/>
      <protection/>
    </xf>
    <xf numFmtId="3" fontId="0" fillId="33" borderId="87" xfId="46" applyNumberFormat="1" applyFill="1" applyBorder="1" applyAlignment="1">
      <alignment vertical="center"/>
      <protection/>
    </xf>
    <xf numFmtId="3" fontId="0" fillId="33" borderId="166" xfId="46" applyNumberFormat="1" applyFill="1" applyBorder="1" applyAlignment="1">
      <alignment vertical="center"/>
      <protection/>
    </xf>
    <xf numFmtId="3" fontId="0" fillId="33" borderId="167" xfId="46" applyNumberFormat="1" applyFill="1" applyBorder="1" applyAlignment="1">
      <alignment vertical="center"/>
      <protection/>
    </xf>
    <xf numFmtId="3" fontId="0" fillId="33" borderId="168" xfId="46" applyNumberFormat="1" applyFill="1" applyBorder="1" applyAlignment="1">
      <alignment vertical="center"/>
      <protection/>
    </xf>
    <xf numFmtId="3" fontId="0" fillId="33" borderId="169" xfId="46" applyNumberFormat="1" applyFill="1" applyBorder="1" applyAlignment="1">
      <alignment vertical="center"/>
      <protection/>
    </xf>
    <xf numFmtId="0" fontId="0" fillId="0" borderId="23" xfId="46" applyBorder="1" applyAlignment="1">
      <alignment vertical="center"/>
      <protection/>
    </xf>
    <xf numFmtId="4" fontId="0" fillId="0" borderId="13" xfId="46" applyNumberFormat="1" applyFill="1" applyBorder="1" applyAlignment="1">
      <alignment vertical="center"/>
      <protection/>
    </xf>
    <xf numFmtId="0" fontId="0" fillId="0" borderId="19" xfId="46" applyBorder="1" applyAlignment="1">
      <alignment vertical="center"/>
      <protection/>
    </xf>
    <xf numFmtId="0" fontId="0" fillId="0" borderId="23" xfId="46" applyFill="1" applyBorder="1" applyAlignment="1">
      <alignment vertical="center"/>
      <protection/>
    </xf>
    <xf numFmtId="0" fontId="0" fillId="0" borderId="29" xfId="46" applyFill="1" applyBorder="1" applyAlignment="1">
      <alignment vertical="center"/>
      <protection/>
    </xf>
    <xf numFmtId="164" fontId="0" fillId="33" borderId="170" xfId="46" applyNumberFormat="1" applyFill="1" applyBorder="1" applyAlignment="1">
      <alignment vertical="center"/>
      <protection/>
    </xf>
    <xf numFmtId="164" fontId="0" fillId="34" borderId="171" xfId="46" applyNumberFormat="1" applyFill="1" applyBorder="1" applyAlignment="1">
      <alignment vertical="center"/>
      <protection/>
    </xf>
    <xf numFmtId="164" fontId="0" fillId="34" borderId="172" xfId="46" applyNumberFormat="1" applyFill="1" applyBorder="1" applyAlignment="1">
      <alignment vertical="center"/>
      <protection/>
    </xf>
    <xf numFmtId="164" fontId="0" fillId="34" borderId="173" xfId="46" applyNumberFormat="1" applyFill="1" applyBorder="1" applyAlignment="1">
      <alignment vertical="center"/>
      <protection/>
    </xf>
    <xf numFmtId="164" fontId="0" fillId="34" borderId="174" xfId="46" applyNumberFormat="1" applyFill="1" applyBorder="1" applyAlignment="1">
      <alignment vertical="center"/>
      <protection/>
    </xf>
    <xf numFmtId="164" fontId="0" fillId="34" borderId="175" xfId="46" applyNumberFormat="1" applyFill="1" applyBorder="1" applyAlignment="1">
      <alignment vertical="center"/>
      <protection/>
    </xf>
    <xf numFmtId="164" fontId="0" fillId="34" borderId="176" xfId="46" applyNumberFormat="1" applyFill="1" applyBorder="1" applyAlignment="1">
      <alignment vertical="center"/>
      <protection/>
    </xf>
    <xf numFmtId="164" fontId="0" fillId="34" borderId="177" xfId="46" applyNumberFormat="1" applyFill="1" applyBorder="1" applyAlignment="1">
      <alignment vertical="center"/>
      <protection/>
    </xf>
    <xf numFmtId="164" fontId="0" fillId="34" borderId="178" xfId="46" applyNumberFormat="1" applyFill="1" applyBorder="1" applyAlignment="1">
      <alignment vertical="center"/>
      <protection/>
    </xf>
    <xf numFmtId="164" fontId="0" fillId="0" borderId="0" xfId="46" applyNumberFormat="1" applyAlignment="1">
      <alignment vertical="center"/>
      <protection/>
    </xf>
    <xf numFmtId="0" fontId="0" fillId="35" borderId="14" xfId="46" applyFill="1" applyBorder="1" applyAlignment="1">
      <alignment vertical="center"/>
      <protection/>
    </xf>
    <xf numFmtId="4" fontId="0" fillId="35" borderId="13" xfId="46" applyNumberFormat="1" applyFill="1" applyBorder="1" applyAlignment="1">
      <alignment vertical="center"/>
      <protection/>
    </xf>
    <xf numFmtId="165" fontId="0" fillId="0" borderId="0" xfId="46" applyNumberFormat="1" applyAlignment="1">
      <alignment vertical="center"/>
      <protection/>
    </xf>
    <xf numFmtId="0" fontId="88" fillId="0" borderId="0" xfId="51">
      <alignment/>
      <protection/>
    </xf>
    <xf numFmtId="0" fontId="0" fillId="0" borderId="0" xfId="46">
      <alignment/>
      <protection/>
    </xf>
    <xf numFmtId="164" fontId="0" fillId="33" borderId="179" xfId="46" applyNumberFormat="1" applyFill="1" applyBorder="1" applyAlignment="1">
      <alignment vertical="center"/>
      <protection/>
    </xf>
    <xf numFmtId="3" fontId="0" fillId="33" borderId="22" xfId="46" applyNumberFormat="1" applyFill="1" applyBorder="1" applyAlignment="1">
      <alignment vertical="center"/>
      <protection/>
    </xf>
    <xf numFmtId="164" fontId="0" fillId="34" borderId="180" xfId="46" applyNumberFormat="1" applyFill="1" applyBorder="1" applyAlignment="1">
      <alignment vertical="center"/>
      <protection/>
    </xf>
    <xf numFmtId="164" fontId="0" fillId="34" borderId="181" xfId="46" applyNumberFormat="1" applyFill="1" applyBorder="1" applyAlignment="1">
      <alignment vertical="center"/>
      <protection/>
    </xf>
    <xf numFmtId="164" fontId="0" fillId="34" borderId="182" xfId="46" applyNumberFormat="1" applyFill="1" applyBorder="1" applyAlignment="1">
      <alignment vertical="center"/>
      <protection/>
    </xf>
    <xf numFmtId="164" fontId="0" fillId="34" borderId="183" xfId="46" applyNumberFormat="1" applyFill="1" applyBorder="1" applyAlignment="1">
      <alignment vertical="center"/>
      <protection/>
    </xf>
    <xf numFmtId="164" fontId="0" fillId="34" borderId="184" xfId="46" applyNumberFormat="1" applyFill="1" applyBorder="1" applyAlignment="1">
      <alignment vertical="center"/>
      <protection/>
    </xf>
    <xf numFmtId="164" fontId="0" fillId="34" borderId="92" xfId="46" applyNumberFormat="1" applyFill="1" applyBorder="1" applyAlignment="1">
      <alignment vertical="center"/>
      <protection/>
    </xf>
    <xf numFmtId="164" fontId="0" fillId="34" borderId="185" xfId="46" applyNumberFormat="1" applyFill="1" applyBorder="1" applyAlignment="1">
      <alignment vertical="center"/>
      <protection/>
    </xf>
    <xf numFmtId="164" fontId="0" fillId="34" borderId="43" xfId="46" applyNumberFormat="1" applyFill="1" applyBorder="1" applyAlignment="1">
      <alignment vertical="center"/>
      <protection/>
    </xf>
    <xf numFmtId="164" fontId="0" fillId="34" borderId="186" xfId="46" applyNumberFormat="1" applyFill="1" applyBorder="1" applyAlignment="1">
      <alignment vertical="center"/>
      <protection/>
    </xf>
    <xf numFmtId="0" fontId="0" fillId="0" borderId="88" xfId="46" applyFill="1" applyBorder="1" applyAlignment="1">
      <alignment vertical="center"/>
      <protection/>
    </xf>
    <xf numFmtId="164" fontId="0" fillId="0" borderId="88" xfId="46" applyNumberFormat="1" applyFill="1" applyBorder="1" applyAlignment="1">
      <alignment vertical="center"/>
      <protection/>
    </xf>
    <xf numFmtId="3" fontId="0" fillId="0" borderId="187" xfId="46" applyNumberFormat="1" applyFill="1" applyBorder="1" applyAlignment="1">
      <alignment vertical="center"/>
      <protection/>
    </xf>
    <xf numFmtId="0" fontId="0" fillId="0" borderId="58" xfId="46" applyFill="1" applyBorder="1" applyAlignment="1">
      <alignment vertical="center"/>
      <protection/>
    </xf>
    <xf numFmtId="164" fontId="0" fillId="0" borderId="29" xfId="46" applyNumberFormat="1" applyFill="1" applyBorder="1" applyAlignment="1">
      <alignment horizontal="center" vertical="center"/>
      <protection/>
    </xf>
    <xf numFmtId="0" fontId="0" fillId="0" borderId="62" xfId="46" applyFill="1" applyBorder="1" applyAlignment="1">
      <alignment vertical="center"/>
      <protection/>
    </xf>
    <xf numFmtId="164" fontId="0" fillId="0" borderId="13" xfId="46" applyNumberFormat="1" applyFill="1" applyBorder="1" applyAlignment="1">
      <alignment horizontal="center" vertical="center"/>
      <protection/>
    </xf>
    <xf numFmtId="0" fontId="0" fillId="0" borderId="100" xfId="46" applyFill="1" applyBorder="1" applyAlignment="1">
      <alignment vertical="center"/>
      <protection/>
    </xf>
    <xf numFmtId="0" fontId="0" fillId="0" borderId="91" xfId="46" applyFill="1" applyBorder="1" applyAlignment="1">
      <alignment vertical="center"/>
      <protection/>
    </xf>
    <xf numFmtId="164" fontId="0" fillId="0" borderId="55" xfId="46" applyNumberFormat="1" applyFill="1" applyBorder="1" applyAlignment="1">
      <alignment horizontal="center" vertical="center"/>
      <protection/>
    </xf>
    <xf numFmtId="0" fontId="0" fillId="0" borderId="61" xfId="46" applyFill="1" applyBorder="1" applyAlignment="1">
      <alignment vertical="center"/>
      <protection/>
    </xf>
    <xf numFmtId="0" fontId="0" fillId="0" borderId="17" xfId="46" applyFill="1" applyBorder="1" applyAlignment="1">
      <alignment vertical="center"/>
      <protection/>
    </xf>
    <xf numFmtId="164" fontId="0" fillId="0" borderId="16" xfId="46" applyNumberFormat="1" applyFill="1" applyBorder="1" applyAlignment="1">
      <alignment horizontal="center" vertical="center"/>
      <protection/>
    </xf>
    <xf numFmtId="0" fontId="0" fillId="0" borderId="64" xfId="46" applyFill="1" applyBorder="1" applyAlignment="1">
      <alignment vertical="center"/>
      <protection/>
    </xf>
    <xf numFmtId="0" fontId="0" fillId="0" borderId="65" xfId="46" applyFill="1" applyBorder="1" applyAlignment="1">
      <alignment vertical="center"/>
      <protection/>
    </xf>
    <xf numFmtId="164" fontId="0" fillId="0" borderId="65" xfId="46" applyNumberFormat="1" applyFill="1" applyBorder="1" applyAlignment="1">
      <alignment horizontal="center" vertical="center"/>
      <protection/>
    </xf>
    <xf numFmtId="1" fontId="0" fillId="0" borderId="0" xfId="46" applyNumberFormat="1" applyAlignment="1">
      <alignment vertical="center"/>
      <protection/>
    </xf>
    <xf numFmtId="0" fontId="8" fillId="38" borderId="0" xfId="85" applyFont="1" applyFill="1" applyBorder="1" applyAlignment="1">
      <alignment horizontal="center" vertical="center"/>
      <protection/>
    </xf>
    <xf numFmtId="0" fontId="4" fillId="38" borderId="71" xfId="85" applyFont="1" applyFill="1" applyBorder="1" applyAlignment="1">
      <alignment horizontal="center" vertical="center"/>
      <protection/>
    </xf>
    <xf numFmtId="0" fontId="0" fillId="0" borderId="91" xfId="63" applyFont="1" applyFill="1" applyBorder="1" applyAlignment="1">
      <alignment vertical="center"/>
      <protection/>
    </xf>
    <xf numFmtId="0" fontId="4" fillId="0" borderId="21" xfId="85" applyFont="1" applyFill="1" applyBorder="1" applyAlignment="1">
      <alignment horizontal="center" vertical="center" wrapText="1"/>
      <protection/>
    </xf>
    <xf numFmtId="0" fontId="4" fillId="7" borderId="72" xfId="85" applyFont="1" applyFill="1" applyBorder="1" applyAlignment="1">
      <alignment horizontal="center" vertical="center"/>
      <protection/>
    </xf>
    <xf numFmtId="3" fontId="21" fillId="0" borderId="29" xfId="85" applyNumberFormat="1" applyFont="1" applyFill="1" applyBorder="1" applyAlignment="1">
      <alignment horizontal="center" vertical="center"/>
      <protection/>
    </xf>
    <xf numFmtId="3" fontId="21" fillId="7" borderId="48" xfId="85" applyNumberFormat="1" applyFont="1" applyFill="1" applyBorder="1" applyAlignment="1">
      <alignment horizontal="center" vertical="center"/>
      <protection/>
    </xf>
    <xf numFmtId="3" fontId="21" fillId="0" borderId="23" xfId="85" applyNumberFormat="1" applyFont="1" applyFill="1" applyBorder="1" applyAlignment="1">
      <alignment horizontal="center" vertical="center"/>
      <protection/>
    </xf>
    <xf numFmtId="3" fontId="21" fillId="7" borderId="14" xfId="85" applyNumberFormat="1" applyFont="1" applyFill="1" applyBorder="1" applyAlignment="1">
      <alignment horizontal="center" vertical="center"/>
      <protection/>
    </xf>
    <xf numFmtId="3" fontId="21" fillId="0" borderId="65" xfId="85" applyNumberFormat="1" applyFont="1" applyFill="1" applyBorder="1" applyAlignment="1">
      <alignment horizontal="center" vertical="center"/>
      <protection/>
    </xf>
    <xf numFmtId="4" fontId="21" fillId="7" borderId="75" xfId="85" applyNumberFormat="1" applyFont="1" applyFill="1" applyBorder="1" applyAlignment="1">
      <alignment horizontal="center" vertical="center"/>
      <protection/>
    </xf>
    <xf numFmtId="1" fontId="122" fillId="7" borderId="188" xfId="85" applyNumberFormat="1" applyFont="1" applyFill="1" applyBorder="1" applyAlignment="1">
      <alignment horizontal="center" vertical="center"/>
      <protection/>
    </xf>
    <xf numFmtId="3" fontId="126" fillId="7" borderId="189" xfId="85" applyNumberFormat="1" applyFont="1" applyFill="1" applyBorder="1" applyAlignment="1">
      <alignment horizontal="center" vertical="center"/>
      <protection/>
    </xf>
    <xf numFmtId="3" fontId="127" fillId="7" borderId="189" xfId="85" applyNumberFormat="1" applyFont="1" applyFill="1" applyBorder="1" applyAlignment="1">
      <alignment horizontal="center" vertical="center"/>
      <protection/>
    </xf>
    <xf numFmtId="3" fontId="116" fillId="7" borderId="190" xfId="85" applyNumberFormat="1" applyFont="1" applyFill="1" applyBorder="1" applyAlignment="1">
      <alignment vertical="center"/>
      <protection/>
    </xf>
    <xf numFmtId="3" fontId="116" fillId="7" borderId="191" xfId="85" applyNumberFormat="1" applyFont="1" applyFill="1" applyBorder="1" applyAlignment="1">
      <alignment horizontal="center" vertical="center"/>
      <protection/>
    </xf>
    <xf numFmtId="3" fontId="116" fillId="7" borderId="192" xfId="85" applyNumberFormat="1" applyFont="1" applyFill="1" applyBorder="1" applyAlignment="1">
      <alignment vertical="center"/>
      <protection/>
    </xf>
    <xf numFmtId="3" fontId="128" fillId="7" borderId="188" xfId="85" applyNumberFormat="1" applyFont="1" applyFill="1" applyBorder="1" applyAlignment="1">
      <alignment horizontal="right" vertical="center"/>
      <protection/>
    </xf>
    <xf numFmtId="3" fontId="126" fillId="7" borderId="189" xfId="85" applyNumberFormat="1" applyFont="1" applyFill="1" applyBorder="1" applyAlignment="1">
      <alignment horizontal="right" vertical="center"/>
      <protection/>
    </xf>
    <xf numFmtId="3" fontId="116" fillId="7" borderId="190" xfId="85" applyNumberFormat="1" applyFont="1" applyFill="1" applyBorder="1" applyAlignment="1">
      <alignment horizontal="right" vertical="center"/>
      <protection/>
    </xf>
    <xf numFmtId="3" fontId="116" fillId="7" borderId="191" xfId="85" applyNumberFormat="1" applyFont="1" applyFill="1" applyBorder="1" applyAlignment="1">
      <alignment horizontal="right" vertical="center"/>
      <protection/>
    </xf>
    <xf numFmtId="3" fontId="116" fillId="7" borderId="192" xfId="85" applyNumberFormat="1" applyFont="1" applyFill="1" applyBorder="1" applyAlignment="1">
      <alignment horizontal="right" vertical="center"/>
      <protection/>
    </xf>
    <xf numFmtId="3" fontId="116" fillId="7" borderId="193" xfId="85" applyNumberFormat="1" applyFont="1" applyFill="1" applyBorder="1" applyAlignment="1">
      <alignment horizontal="right" vertical="center"/>
      <protection/>
    </xf>
    <xf numFmtId="3" fontId="127" fillId="7" borderId="194" xfId="85" applyNumberFormat="1" applyFont="1" applyFill="1" applyBorder="1" applyAlignment="1">
      <alignment horizontal="right" vertical="center"/>
      <protection/>
    </xf>
    <xf numFmtId="3" fontId="127" fillId="7" borderId="191" xfId="85" applyNumberFormat="1" applyFont="1" applyFill="1" applyBorder="1" applyAlignment="1">
      <alignment horizontal="right" vertical="center"/>
      <protection/>
    </xf>
    <xf numFmtId="3" fontId="116" fillId="7" borderId="195" xfId="85" applyNumberFormat="1" applyFont="1" applyFill="1" applyBorder="1" applyAlignment="1">
      <alignment horizontal="right" vertical="center"/>
      <protection/>
    </xf>
    <xf numFmtId="3" fontId="116" fillId="7" borderId="194" xfId="85" applyNumberFormat="1" applyFont="1" applyFill="1" applyBorder="1" applyAlignment="1">
      <alignment horizontal="right" vertical="center"/>
      <protection/>
    </xf>
    <xf numFmtId="3" fontId="116" fillId="7" borderId="196" xfId="85" applyNumberFormat="1" applyFont="1" applyFill="1" applyBorder="1" applyAlignment="1">
      <alignment horizontal="right" vertical="center"/>
      <protection/>
    </xf>
    <xf numFmtId="3" fontId="116" fillId="7" borderId="195" xfId="46" applyNumberFormat="1" applyFont="1" applyFill="1" applyBorder="1" applyAlignment="1">
      <alignment horizontal="right" vertical="center"/>
      <protection/>
    </xf>
    <xf numFmtId="3" fontId="129" fillId="7" borderId="193" xfId="85" applyNumberFormat="1" applyFont="1" applyFill="1" applyBorder="1" applyAlignment="1">
      <alignment horizontal="right" vertical="center"/>
      <protection/>
    </xf>
    <xf numFmtId="3" fontId="113" fillId="7" borderId="189" xfId="85" applyNumberFormat="1" applyFont="1" applyFill="1" applyBorder="1" applyAlignment="1">
      <alignment horizontal="right" vertical="center"/>
      <protection/>
    </xf>
    <xf numFmtId="3" fontId="121" fillId="7" borderId="193" xfId="85" applyNumberFormat="1" applyFont="1" applyFill="1" applyBorder="1" applyAlignment="1">
      <alignment horizontal="right" vertical="center"/>
      <protection/>
    </xf>
    <xf numFmtId="3" fontId="130" fillId="7" borderId="191" xfId="85" applyNumberFormat="1" applyFont="1" applyFill="1" applyBorder="1" applyAlignment="1">
      <alignment horizontal="right" vertical="center"/>
      <protection/>
    </xf>
    <xf numFmtId="3" fontId="121" fillId="7" borderId="191" xfId="85" applyNumberFormat="1" applyFont="1" applyFill="1" applyBorder="1" applyAlignment="1">
      <alignment horizontal="right" vertical="center"/>
      <protection/>
    </xf>
    <xf numFmtId="3" fontId="123" fillId="7" borderId="197" xfId="85" applyNumberFormat="1" applyFont="1" applyFill="1" applyBorder="1" applyAlignment="1">
      <alignment horizontal="right" vertical="center"/>
      <protection/>
    </xf>
    <xf numFmtId="3" fontId="88" fillId="0" borderId="0" xfId="50" applyNumberFormat="1">
      <alignment/>
      <protection/>
    </xf>
    <xf numFmtId="170" fontId="40" fillId="0" borderId="20" xfId="63" applyNumberFormat="1" applyFont="1" applyFill="1" applyBorder="1" applyAlignment="1" applyProtection="1">
      <alignment horizontal="right" vertical="center"/>
      <protection/>
    </xf>
    <xf numFmtId="166" fontId="40" fillId="0" borderId="55" xfId="88" applyNumberFormat="1" applyFont="1" applyFill="1" applyBorder="1" applyAlignment="1" applyProtection="1">
      <alignment horizontal="right" vertical="center"/>
      <protection/>
    </xf>
    <xf numFmtId="166" fontId="0" fillId="0" borderId="0" xfId="63" applyNumberFormat="1" applyFont="1" applyFill="1" applyBorder="1" applyAlignment="1">
      <alignment vertical="center"/>
      <protection/>
    </xf>
    <xf numFmtId="164" fontId="0" fillId="0" borderId="37" xfId="46" applyNumberFormat="1" applyFont="1" applyFill="1" applyBorder="1" applyAlignment="1">
      <alignment horizontal="center" vertical="center" wrapText="1"/>
      <protection/>
    </xf>
    <xf numFmtId="10" fontId="0" fillId="33" borderId="164" xfId="46" applyNumberFormat="1" applyFill="1" applyBorder="1" applyAlignment="1">
      <alignment vertical="center"/>
      <protection/>
    </xf>
    <xf numFmtId="164" fontId="0" fillId="0" borderId="198" xfId="46" applyNumberFormat="1" applyBorder="1" applyAlignment="1">
      <alignment vertical="center"/>
      <protection/>
    </xf>
    <xf numFmtId="0" fontId="0" fillId="0" borderId="38" xfId="46" applyFont="1" applyFill="1" applyBorder="1" applyAlignment="1">
      <alignment horizontal="center" vertical="center" wrapText="1"/>
      <protection/>
    </xf>
    <xf numFmtId="164" fontId="0" fillId="34" borderId="199" xfId="46" applyNumberFormat="1" applyFill="1" applyBorder="1" applyAlignment="1">
      <alignment vertical="center"/>
      <protection/>
    </xf>
    <xf numFmtId="0" fontId="0" fillId="0" borderId="200" xfId="46" applyFont="1" applyFill="1" applyBorder="1" applyAlignment="1">
      <alignment horizontal="center" vertical="center" wrapText="1"/>
      <protection/>
    </xf>
    <xf numFmtId="4" fontId="88" fillId="0" borderId="0" xfId="52" applyNumberFormat="1">
      <alignment/>
      <protection/>
    </xf>
    <xf numFmtId="10" fontId="0" fillId="33" borderId="21" xfId="46" applyNumberFormat="1" applyFill="1" applyBorder="1" applyAlignment="1">
      <alignment vertical="center"/>
      <protection/>
    </xf>
    <xf numFmtId="10" fontId="0" fillId="0" borderId="13" xfId="46" applyNumberFormat="1" applyBorder="1" applyAlignment="1">
      <alignment vertical="center"/>
      <protection/>
    </xf>
    <xf numFmtId="10" fontId="0" fillId="0" borderId="13" xfId="46" applyNumberFormat="1" applyFill="1" applyBorder="1" applyAlignment="1">
      <alignment vertical="center"/>
      <protection/>
    </xf>
    <xf numFmtId="0" fontId="106" fillId="0" borderId="90" xfId="54" applyFont="1" applyBorder="1" applyAlignment="1">
      <alignment vertical="center" wrapText="1"/>
      <protection/>
    </xf>
    <xf numFmtId="0" fontId="106" fillId="0" borderId="90" xfId="54" applyFont="1" applyFill="1" applyBorder="1" applyAlignment="1">
      <alignment vertical="center"/>
      <protection/>
    </xf>
    <xf numFmtId="4" fontId="0" fillId="0" borderId="98" xfId="86" applyNumberFormat="1" applyFont="1" applyFill="1" applyBorder="1" applyAlignment="1">
      <alignment vertical="center"/>
      <protection/>
    </xf>
    <xf numFmtId="165" fontId="0" fillId="33" borderId="21" xfId="46" applyNumberFormat="1" applyFill="1" applyBorder="1" applyAlignment="1">
      <alignment vertical="center"/>
      <protection/>
    </xf>
    <xf numFmtId="0" fontId="0" fillId="0" borderId="201" xfId="46" applyFont="1" applyBorder="1" applyAlignment="1">
      <alignment horizontal="center" vertical="center" wrapText="1"/>
      <protection/>
    </xf>
    <xf numFmtId="166" fontId="0" fillId="34" borderId="173" xfId="91" applyNumberFormat="1" applyFont="1" applyFill="1" applyBorder="1" applyAlignment="1">
      <alignment vertical="center"/>
    </xf>
    <xf numFmtId="0" fontId="0" fillId="0" borderId="202" xfId="46" applyFont="1" applyFill="1" applyBorder="1" applyAlignment="1">
      <alignment horizontal="center" vertical="center" wrapText="1"/>
      <protection/>
    </xf>
    <xf numFmtId="0" fontId="121" fillId="0" borderId="0" xfId="50" applyFont="1" applyAlignment="1">
      <alignment horizontal="left" vertical="center" wrapText="1"/>
      <protection/>
    </xf>
    <xf numFmtId="0" fontId="116" fillId="0" borderId="0" xfId="47" applyFont="1" applyAlignment="1">
      <alignment vertical="center"/>
      <protection/>
    </xf>
    <xf numFmtId="0" fontId="106" fillId="0" borderId="14" xfId="47" applyFont="1" applyBorder="1" applyAlignment="1">
      <alignment vertical="center"/>
      <protection/>
    </xf>
    <xf numFmtId="0" fontId="106" fillId="0" borderId="17" xfId="47" applyFont="1" applyBorder="1" applyAlignment="1">
      <alignment vertical="center"/>
      <protection/>
    </xf>
    <xf numFmtId="0" fontId="106" fillId="0" borderId="16" xfId="47" applyFont="1" applyBorder="1" applyAlignment="1">
      <alignment vertical="center"/>
      <protection/>
    </xf>
    <xf numFmtId="3" fontId="106" fillId="0" borderId="13" xfId="47" applyNumberFormat="1" applyFont="1" applyBorder="1" applyAlignment="1">
      <alignment vertical="center"/>
      <protection/>
    </xf>
    <xf numFmtId="0" fontId="106" fillId="0" borderId="0" xfId="47" applyFont="1" applyAlignment="1">
      <alignment vertical="center"/>
      <protection/>
    </xf>
    <xf numFmtId="167" fontId="106" fillId="0" borderId="13" xfId="47" applyNumberFormat="1" applyFont="1" applyBorder="1" applyAlignment="1">
      <alignment horizontal="right" vertical="center"/>
      <protection/>
    </xf>
    <xf numFmtId="0" fontId="106" fillId="0" borderId="0" xfId="47" applyFont="1" applyBorder="1" applyAlignment="1">
      <alignment vertical="center"/>
      <protection/>
    </xf>
    <xf numFmtId="0" fontId="131" fillId="0" borderId="0" xfId="47" applyFont="1" applyBorder="1" applyAlignment="1">
      <alignment vertical="center"/>
      <protection/>
    </xf>
    <xf numFmtId="167" fontId="106" fillId="0" borderId="0" xfId="47" applyNumberFormat="1" applyFont="1" applyBorder="1" applyAlignment="1">
      <alignment horizontal="right" vertical="center"/>
      <protection/>
    </xf>
    <xf numFmtId="0" fontId="107" fillId="0" borderId="0" xfId="47" applyFont="1" applyAlignment="1">
      <alignment horizontal="center" vertical="center"/>
      <protection/>
    </xf>
    <xf numFmtId="0" fontId="106" fillId="0" borderId="0" xfId="47" applyFont="1" applyAlignment="1">
      <alignment horizontal="right" vertical="center"/>
      <protection/>
    </xf>
    <xf numFmtId="0" fontId="107" fillId="0" borderId="176" xfId="47" applyFont="1" applyFill="1" applyBorder="1" applyAlignment="1">
      <alignment horizontal="center" vertical="center" wrapText="1"/>
      <protection/>
    </xf>
    <xf numFmtId="0" fontId="107" fillId="0" borderId="35" xfId="47" applyFont="1" applyFill="1" applyBorder="1" applyAlignment="1">
      <alignment horizontal="center" vertical="center" wrapText="1"/>
      <protection/>
    </xf>
    <xf numFmtId="49" fontId="13" fillId="0" borderId="203" xfId="47" applyNumberFormat="1" applyFont="1" applyFill="1" applyBorder="1" applyAlignment="1">
      <alignment horizontal="center" vertical="center"/>
      <protection/>
    </xf>
    <xf numFmtId="0" fontId="13" fillId="0" borderId="10" xfId="47" applyFont="1" applyFill="1" applyBorder="1" applyAlignment="1">
      <alignment vertical="center"/>
      <protection/>
    </xf>
    <xf numFmtId="3" fontId="0" fillId="0" borderId="10" xfId="47" applyNumberFormat="1" applyFont="1" applyBorder="1" applyAlignment="1">
      <alignment horizontal="right" vertical="center" indent="1"/>
      <protection/>
    </xf>
    <xf numFmtId="3" fontId="0" fillId="0" borderId="11" xfId="47" applyNumberFormat="1" applyFont="1" applyBorder="1" applyAlignment="1">
      <alignment horizontal="right" vertical="center" indent="1"/>
      <protection/>
    </xf>
    <xf numFmtId="3" fontId="6" fillId="0" borderId="204" xfId="47" applyNumberFormat="1" applyFont="1" applyBorder="1" applyAlignment="1">
      <alignment horizontal="right" vertical="center" indent="1"/>
      <protection/>
    </xf>
    <xf numFmtId="0" fontId="106" fillId="0" borderId="0" xfId="47" applyFont="1" applyFill="1" applyAlignment="1">
      <alignment vertical="center"/>
      <protection/>
    </xf>
    <xf numFmtId="3" fontId="106" fillId="0" borderId="0" xfId="47" applyNumberFormat="1" applyFont="1" applyAlignment="1">
      <alignment vertical="center"/>
      <protection/>
    </xf>
    <xf numFmtId="49" fontId="13" fillId="0" borderId="62" xfId="47" applyNumberFormat="1" applyFont="1" applyFill="1" applyBorder="1" applyAlignment="1">
      <alignment horizontal="center" vertical="center"/>
      <protection/>
    </xf>
    <xf numFmtId="0" fontId="13" fillId="0" borderId="13" xfId="47" applyFont="1" applyFill="1" applyBorder="1" applyAlignment="1">
      <alignment vertical="center"/>
      <protection/>
    </xf>
    <xf numFmtId="3" fontId="0" fillId="0" borderId="13" xfId="47" applyNumberFormat="1" applyFont="1" applyBorder="1" applyAlignment="1">
      <alignment horizontal="right" vertical="center" indent="1"/>
      <protection/>
    </xf>
    <xf numFmtId="3" fontId="0" fillId="0" borderId="14" xfId="47" applyNumberFormat="1" applyFont="1" applyBorder="1" applyAlignment="1">
      <alignment horizontal="right" vertical="center" indent="1"/>
      <protection/>
    </xf>
    <xf numFmtId="3" fontId="6" fillId="0" borderId="51" xfId="47" applyNumberFormat="1" applyFont="1" applyBorder="1" applyAlignment="1">
      <alignment horizontal="right" vertical="center" indent="1"/>
      <protection/>
    </xf>
    <xf numFmtId="3" fontId="6" fillId="0" borderId="51" xfId="47" applyNumberFormat="1" applyFont="1" applyBorder="1" applyAlignment="1" quotePrefix="1">
      <alignment horizontal="right" vertical="center" indent="1"/>
      <protection/>
    </xf>
    <xf numFmtId="49" fontId="13" fillId="0" borderId="85" xfId="47" applyNumberFormat="1" applyFont="1" applyFill="1" applyBorder="1" applyAlignment="1">
      <alignment horizontal="center" vertical="center"/>
      <protection/>
    </xf>
    <xf numFmtId="0" fontId="13" fillId="0" borderId="19" xfId="47" applyFont="1" applyFill="1" applyBorder="1" applyAlignment="1">
      <alignment vertical="center"/>
      <protection/>
    </xf>
    <xf numFmtId="0" fontId="107" fillId="0" borderId="205" xfId="47" applyFont="1" applyFill="1" applyBorder="1" applyAlignment="1">
      <alignment horizontal="center" vertical="center"/>
      <protection/>
    </xf>
    <xf numFmtId="0" fontId="14" fillId="0" borderId="206" xfId="47" applyFont="1" applyFill="1" applyBorder="1" applyAlignment="1">
      <alignment vertical="center"/>
      <protection/>
    </xf>
    <xf numFmtId="3" fontId="6" fillId="0" borderId="207" xfId="47" applyNumberFormat="1" applyFont="1" applyFill="1" applyBorder="1" applyAlignment="1">
      <alignment horizontal="right" vertical="center" indent="1"/>
      <protection/>
    </xf>
    <xf numFmtId="3" fontId="6" fillId="0" borderId="208" xfId="47" applyNumberFormat="1" applyFont="1" applyFill="1" applyBorder="1" applyAlignment="1">
      <alignment horizontal="right" vertical="center" indent="1"/>
      <protection/>
    </xf>
    <xf numFmtId="3" fontId="6" fillId="0" borderId="209" xfId="47" applyNumberFormat="1" applyFont="1" applyFill="1" applyBorder="1" applyAlignment="1">
      <alignment horizontal="right" vertical="center" indent="1"/>
      <protection/>
    </xf>
    <xf numFmtId="0" fontId="107" fillId="0" borderId="0" xfId="47" applyFont="1" applyFill="1" applyAlignment="1">
      <alignment vertical="center"/>
      <protection/>
    </xf>
    <xf numFmtId="3" fontId="107" fillId="0" borderId="0" xfId="47" applyNumberFormat="1" applyFont="1" applyFill="1" applyAlignment="1">
      <alignment vertical="center"/>
      <protection/>
    </xf>
    <xf numFmtId="0" fontId="132" fillId="0" borderId="0" xfId="47" applyFont="1" applyFill="1" applyAlignment="1">
      <alignment vertical="center"/>
      <protection/>
    </xf>
    <xf numFmtId="3" fontId="133" fillId="0" borderId="0" xfId="47" applyNumberFormat="1" applyFont="1" applyFill="1" applyAlignment="1">
      <alignment vertical="center"/>
      <protection/>
    </xf>
    <xf numFmtId="0" fontId="132" fillId="0" borderId="0" xfId="47" applyFont="1" applyAlignment="1">
      <alignment vertical="center"/>
      <protection/>
    </xf>
    <xf numFmtId="166" fontId="133" fillId="0" borderId="0" xfId="47" applyNumberFormat="1" applyFont="1" applyAlignment="1">
      <alignment vertical="center"/>
      <protection/>
    </xf>
    <xf numFmtId="0" fontId="134" fillId="0" borderId="0" xfId="47" applyFont="1" applyAlignment="1">
      <alignment vertical="center"/>
      <protection/>
    </xf>
    <xf numFmtId="0" fontId="88" fillId="0" borderId="0" xfId="47" applyFont="1" applyAlignment="1">
      <alignment vertical="center"/>
      <protection/>
    </xf>
    <xf numFmtId="0" fontId="40" fillId="0" borderId="0" xfId="0" applyFont="1" applyBorder="1" applyAlignment="1">
      <alignment vertical="center"/>
    </xf>
    <xf numFmtId="0" fontId="40" fillId="0" borderId="0" xfId="86" applyFont="1" applyAlignment="1">
      <alignment vertical="center"/>
      <protection/>
    </xf>
    <xf numFmtId="0" fontId="124" fillId="0" borderId="0" xfId="50" applyFont="1" applyAlignment="1">
      <alignment vertical="center"/>
      <protection/>
    </xf>
    <xf numFmtId="0" fontId="135" fillId="0" borderId="0" xfId="47" applyFont="1" applyAlignment="1">
      <alignment vertical="center"/>
      <protection/>
    </xf>
    <xf numFmtId="10" fontId="41" fillId="0" borderId="128" xfId="88" applyNumberFormat="1" applyFont="1" applyFill="1" applyBorder="1" applyAlignment="1" applyProtection="1">
      <alignment horizontal="right" vertical="center"/>
      <protection/>
    </xf>
    <xf numFmtId="3" fontId="40" fillId="0" borderId="210" xfId="63" applyNumberFormat="1" applyFont="1" applyFill="1" applyBorder="1" applyAlignment="1">
      <alignment vertical="center"/>
      <protection/>
    </xf>
    <xf numFmtId="164" fontId="0" fillId="0" borderId="211" xfId="46" applyNumberFormat="1" applyBorder="1" applyAlignment="1">
      <alignment vertical="center"/>
      <protection/>
    </xf>
    <xf numFmtId="164" fontId="0" fillId="0" borderId="212" xfId="46" applyNumberFormat="1" applyBorder="1" applyAlignment="1">
      <alignment vertical="center"/>
      <protection/>
    </xf>
    <xf numFmtId="164" fontId="0" fillId="0" borderId="213" xfId="46" applyNumberFormat="1" applyBorder="1" applyAlignment="1">
      <alignment vertical="center"/>
      <protection/>
    </xf>
    <xf numFmtId="3" fontId="40" fillId="0" borderId="0" xfId="63" applyNumberFormat="1" applyFont="1" applyFill="1" applyBorder="1" applyAlignment="1">
      <alignment horizontal="center" vertical="center" wrapText="1"/>
      <protection/>
    </xf>
    <xf numFmtId="169" fontId="40" fillId="0" borderId="0" xfId="63" applyNumberFormat="1" applyFont="1" applyFill="1" applyBorder="1" applyAlignment="1">
      <alignment vertical="center"/>
      <protection/>
    </xf>
    <xf numFmtId="49" fontId="109" fillId="0" borderId="48" xfId="85" applyNumberFormat="1" applyFont="1" applyFill="1" applyBorder="1" applyAlignment="1">
      <alignment horizontal="center" vertical="center" wrapText="1"/>
      <protection/>
    </xf>
    <xf numFmtId="49" fontId="109" fillId="0" borderId="14" xfId="85" applyNumberFormat="1" applyFont="1" applyFill="1" applyBorder="1" applyAlignment="1">
      <alignment horizontal="center" vertical="center" wrapText="1"/>
      <protection/>
    </xf>
    <xf numFmtId="49" fontId="109" fillId="0" borderId="75" xfId="85" applyNumberFormat="1" applyFont="1" applyFill="1" applyBorder="1" applyAlignment="1">
      <alignment horizontal="center" vertical="center" wrapText="1"/>
      <protection/>
    </xf>
    <xf numFmtId="49" fontId="122" fillId="7" borderId="214" xfId="85" applyNumberFormat="1" applyFont="1" applyFill="1" applyBorder="1" applyAlignment="1">
      <alignment horizontal="center" vertical="center" wrapText="1"/>
      <protection/>
    </xf>
    <xf numFmtId="49" fontId="122" fillId="7" borderId="191" xfId="85" applyNumberFormat="1" applyFont="1" applyFill="1" applyBorder="1" applyAlignment="1">
      <alignment horizontal="center" vertical="center" wrapText="1"/>
      <protection/>
    </xf>
    <xf numFmtId="49" fontId="122" fillId="7" borderId="192" xfId="85" applyNumberFormat="1" applyFont="1" applyFill="1" applyBorder="1" applyAlignment="1">
      <alignment horizontal="center" vertical="center" wrapText="1"/>
      <protection/>
    </xf>
    <xf numFmtId="0" fontId="19" fillId="38" borderId="0" xfId="85" applyFont="1" applyFill="1" applyAlignment="1">
      <alignment horizontal="center" vertical="center" wrapText="1"/>
      <protection/>
    </xf>
    <xf numFmtId="0" fontId="4" fillId="38" borderId="77" xfId="85" applyFont="1" applyFill="1" applyBorder="1" applyAlignment="1">
      <alignment horizontal="center" vertical="center"/>
      <protection/>
    </xf>
    <xf numFmtId="0" fontId="4" fillId="38" borderId="21" xfId="85" applyFont="1" applyFill="1" applyBorder="1" applyAlignment="1">
      <alignment horizontal="center" vertical="center"/>
      <protection/>
    </xf>
    <xf numFmtId="0" fontId="4" fillId="38" borderId="102" xfId="85" applyFont="1" applyFill="1" applyBorder="1" applyAlignment="1">
      <alignment horizontal="center" vertical="center"/>
      <protection/>
    </xf>
    <xf numFmtId="0" fontId="4" fillId="38" borderId="71" xfId="85" applyFont="1" applyFill="1" applyBorder="1" applyAlignment="1">
      <alignment horizontal="center" vertical="center"/>
      <protection/>
    </xf>
    <xf numFmtId="0" fontId="21" fillId="38" borderId="99" xfId="85" applyFont="1" applyFill="1" applyBorder="1" applyAlignment="1">
      <alignment horizontal="left" vertical="center" wrapText="1"/>
      <protection/>
    </xf>
    <xf numFmtId="0" fontId="21" fillId="38" borderId="92" xfId="85" applyFont="1" applyFill="1" applyBorder="1" applyAlignment="1">
      <alignment horizontal="left" vertical="center" wrapText="1"/>
      <protection/>
    </xf>
    <xf numFmtId="0" fontId="21" fillId="38" borderId="46" xfId="85" applyFont="1" applyFill="1" applyBorder="1" applyAlignment="1">
      <alignment horizontal="left" vertical="center" wrapText="1"/>
      <protection/>
    </xf>
    <xf numFmtId="0" fontId="21" fillId="38" borderId="58" xfId="84" applyFont="1" applyFill="1" applyBorder="1" applyAlignment="1">
      <alignment horizontal="left" vertical="center" wrapText="1"/>
      <protection/>
    </xf>
    <xf numFmtId="0" fontId="21" fillId="38" borderId="29" xfId="84" applyFont="1" applyFill="1" applyBorder="1" applyAlignment="1">
      <alignment horizontal="left" vertical="center" wrapText="1"/>
      <protection/>
    </xf>
    <xf numFmtId="0" fontId="21" fillId="38" borderId="61" xfId="84" applyFont="1" applyFill="1" applyBorder="1" applyAlignment="1">
      <alignment horizontal="left" vertical="center" wrapText="1"/>
      <protection/>
    </xf>
    <xf numFmtId="0" fontId="21" fillId="38" borderId="17" xfId="84" applyFont="1" applyFill="1" applyBorder="1" applyAlignment="1">
      <alignment horizontal="left" vertical="center" wrapText="1"/>
      <protection/>
    </xf>
    <xf numFmtId="0" fontId="21" fillId="38" borderId="16" xfId="84" applyFont="1" applyFill="1" applyBorder="1" applyAlignment="1">
      <alignment horizontal="left" vertical="center" wrapText="1"/>
      <protection/>
    </xf>
    <xf numFmtId="0" fontId="21" fillId="38" borderId="62" xfId="85" applyFont="1" applyFill="1" applyBorder="1" applyAlignment="1">
      <alignment horizontal="left" vertical="center" wrapText="1"/>
      <protection/>
    </xf>
    <xf numFmtId="0" fontId="21" fillId="38" borderId="13" xfId="85" applyFont="1" applyFill="1" applyBorder="1" applyAlignment="1">
      <alignment horizontal="left" vertical="center" wrapText="1"/>
      <protection/>
    </xf>
    <xf numFmtId="0" fontId="21" fillId="38" borderId="64" xfId="84" applyFont="1" applyFill="1" applyBorder="1" applyAlignment="1">
      <alignment horizontal="left" vertical="center" wrapText="1"/>
      <protection/>
    </xf>
    <xf numFmtId="0" fontId="21" fillId="38" borderId="65" xfId="84" applyFont="1" applyFill="1" applyBorder="1" applyAlignment="1">
      <alignment horizontal="left" vertical="center" wrapText="1"/>
      <protection/>
    </xf>
    <xf numFmtId="0" fontId="8" fillId="38" borderId="0" xfId="85" applyFont="1" applyFill="1" applyBorder="1" applyAlignment="1">
      <alignment horizontal="center" vertical="center"/>
      <protection/>
    </xf>
    <xf numFmtId="0" fontId="21" fillId="38" borderId="64" xfId="85" applyFont="1" applyFill="1" applyBorder="1" applyAlignment="1">
      <alignment horizontal="left" vertical="center" wrapText="1"/>
      <protection/>
    </xf>
    <xf numFmtId="0" fontId="21" fillId="38" borderId="65" xfId="85" applyFont="1" applyFill="1" applyBorder="1" applyAlignment="1">
      <alignment horizontal="left" vertical="center" wrapText="1"/>
      <protection/>
    </xf>
    <xf numFmtId="0" fontId="23" fillId="38" borderId="0" xfId="85" applyFont="1" applyFill="1" applyBorder="1" applyAlignment="1">
      <alignment horizontal="left" vertical="center"/>
      <protection/>
    </xf>
    <xf numFmtId="0" fontId="21" fillId="0" borderId="102" xfId="85" applyFont="1" applyFill="1" applyBorder="1" applyAlignment="1">
      <alignment horizontal="center" vertical="center" textRotation="90" wrapText="1"/>
      <protection/>
    </xf>
    <xf numFmtId="0" fontId="21" fillId="0" borderId="90" xfId="85" applyFont="1" applyFill="1" applyBorder="1" applyAlignment="1">
      <alignment horizontal="center" vertical="center" textRotation="90" wrapText="1"/>
      <protection/>
    </xf>
    <xf numFmtId="0" fontId="21" fillId="0" borderId="72" xfId="85" applyFont="1" applyFill="1" applyBorder="1" applyAlignment="1">
      <alignment horizontal="center" vertical="center" textRotation="90" wrapText="1"/>
      <protection/>
    </xf>
    <xf numFmtId="0" fontId="21" fillId="0" borderId="59" xfId="85" applyFont="1" applyFill="1" applyBorder="1" applyAlignment="1">
      <alignment horizontal="center" vertical="center" textRotation="90" wrapText="1"/>
      <protection/>
    </xf>
    <xf numFmtId="0" fontId="21" fillId="0" borderId="49" xfId="85" applyFont="1" applyFill="1" applyBorder="1" applyAlignment="1">
      <alignment horizontal="center" vertical="center" wrapText="1"/>
      <protection/>
    </xf>
    <xf numFmtId="0" fontId="21" fillId="0" borderId="88" xfId="85" applyFont="1" applyFill="1" applyBorder="1" applyAlignment="1">
      <alignment horizontal="center" vertical="center" wrapText="1"/>
      <protection/>
    </xf>
    <xf numFmtId="0" fontId="21" fillId="0" borderId="82" xfId="85" applyFont="1" applyFill="1" applyBorder="1" applyAlignment="1">
      <alignment horizontal="center" vertical="center" wrapText="1"/>
      <protection/>
    </xf>
    <xf numFmtId="0" fontId="21" fillId="0" borderId="80" xfId="85" applyFont="1" applyFill="1" applyBorder="1" applyAlignment="1">
      <alignment horizontal="center" vertical="center" wrapText="1"/>
      <protection/>
    </xf>
    <xf numFmtId="0" fontId="21" fillId="0" borderId="0" xfId="85" applyFont="1" applyFill="1" applyBorder="1" applyAlignment="1">
      <alignment horizontal="center" vertical="center" wrapText="1"/>
      <protection/>
    </xf>
    <xf numFmtId="0" fontId="21" fillId="0" borderId="60" xfId="85" applyFont="1" applyFill="1" applyBorder="1" applyAlignment="1">
      <alignment horizontal="center" vertical="center" wrapText="1"/>
      <protection/>
    </xf>
    <xf numFmtId="0" fontId="21" fillId="0" borderId="139" xfId="85" applyFont="1" applyFill="1" applyBorder="1" applyAlignment="1">
      <alignment horizontal="center" vertical="center" wrapText="1"/>
      <protection/>
    </xf>
    <xf numFmtId="0" fontId="21" fillId="0" borderId="94" xfId="85" applyFont="1" applyFill="1" applyBorder="1" applyAlignment="1">
      <alignment horizontal="center" vertical="center" wrapText="1"/>
      <protection/>
    </xf>
    <xf numFmtId="0" fontId="21" fillId="0" borderId="79" xfId="85" applyFont="1" applyFill="1" applyBorder="1" applyAlignment="1">
      <alignment horizontal="center" vertical="center" wrapText="1"/>
      <protection/>
    </xf>
    <xf numFmtId="49" fontId="21" fillId="0" borderId="29" xfId="85" applyNumberFormat="1" applyFont="1" applyFill="1" applyBorder="1" applyAlignment="1">
      <alignment horizontal="center" vertical="center" wrapText="1"/>
      <protection/>
    </xf>
    <xf numFmtId="49" fontId="21" fillId="0" borderId="13" xfId="85" applyNumberFormat="1" applyFont="1" applyFill="1" applyBorder="1" applyAlignment="1">
      <alignment horizontal="center" vertical="center" wrapText="1"/>
      <protection/>
    </xf>
    <xf numFmtId="49" fontId="21" fillId="0" borderId="65" xfId="85" applyNumberFormat="1" applyFont="1" applyFill="1" applyBorder="1" applyAlignment="1">
      <alignment horizontal="center" vertical="center" wrapText="1"/>
      <protection/>
    </xf>
    <xf numFmtId="10" fontId="109" fillId="0" borderId="46" xfId="85" applyNumberFormat="1" applyFont="1" applyFill="1" applyBorder="1" applyAlignment="1">
      <alignment horizontal="center" vertical="center" wrapText="1"/>
      <protection/>
    </xf>
    <xf numFmtId="10" fontId="109" fillId="0" borderId="16" xfId="85" applyNumberFormat="1" applyFont="1" applyFill="1" applyBorder="1" applyAlignment="1">
      <alignment horizontal="center" vertical="center" wrapText="1"/>
      <protection/>
    </xf>
    <xf numFmtId="10" fontId="109" fillId="0" borderId="83" xfId="85" applyNumberFormat="1" applyFont="1" applyFill="1" applyBorder="1" applyAlignment="1">
      <alignment horizontal="center" vertical="center" wrapText="1"/>
      <protection/>
    </xf>
    <xf numFmtId="49" fontId="109" fillId="0" borderId="50" xfId="85" applyNumberFormat="1" applyFont="1" applyFill="1" applyBorder="1" applyAlignment="1">
      <alignment horizontal="center" vertical="center" wrapText="1"/>
      <protection/>
    </xf>
    <xf numFmtId="49" fontId="109" fillId="0" borderId="51" xfId="85" applyNumberFormat="1" applyFont="1" applyFill="1" applyBorder="1" applyAlignment="1">
      <alignment horizontal="center" vertical="center" wrapText="1"/>
      <protection/>
    </xf>
    <xf numFmtId="49" fontId="109" fillId="0" borderId="54" xfId="85" applyNumberFormat="1" applyFont="1" applyFill="1" applyBorder="1" applyAlignment="1">
      <alignment horizontal="center" vertical="center" wrapText="1"/>
      <protection/>
    </xf>
    <xf numFmtId="1" fontId="21" fillId="0" borderId="22" xfId="85" applyNumberFormat="1" applyFont="1" applyFill="1" applyBorder="1" applyAlignment="1">
      <alignment horizontal="center" vertical="center"/>
      <protection/>
    </xf>
    <xf numFmtId="1" fontId="21" fillId="0" borderId="86" xfId="85" applyNumberFormat="1" applyFont="1" applyFill="1" applyBorder="1" applyAlignment="1">
      <alignment horizontal="center" vertical="center"/>
      <protection/>
    </xf>
    <xf numFmtId="0" fontId="8" fillId="38" borderId="48" xfId="85" applyFont="1" applyFill="1" applyBorder="1" applyAlignment="1">
      <alignment horizontal="left" vertical="center"/>
      <protection/>
    </xf>
    <xf numFmtId="0" fontId="8" fillId="38" borderId="92" xfId="85" applyFont="1" applyFill="1" applyBorder="1" applyAlignment="1">
      <alignment horizontal="left" vertical="center"/>
      <protection/>
    </xf>
    <xf numFmtId="0" fontId="8" fillId="38" borderId="14" xfId="85" applyFont="1" applyFill="1" applyBorder="1" applyAlignment="1">
      <alignment horizontal="left" vertical="center"/>
      <protection/>
    </xf>
    <xf numFmtId="0" fontId="8" fillId="38" borderId="17" xfId="85" applyFont="1" applyFill="1" applyBorder="1" applyAlignment="1">
      <alignment horizontal="left" vertical="center"/>
      <protection/>
    </xf>
    <xf numFmtId="0" fontId="8" fillId="0" borderId="75" xfId="85" applyFont="1" applyFill="1" applyBorder="1" applyAlignment="1">
      <alignment horizontal="left" vertical="center"/>
      <protection/>
    </xf>
    <xf numFmtId="0" fontId="8" fillId="0" borderId="101" xfId="85" applyFont="1" applyFill="1" applyBorder="1" applyAlignment="1">
      <alignment horizontal="left" vertical="center"/>
      <protection/>
    </xf>
    <xf numFmtId="10" fontId="109" fillId="0" borderId="29" xfId="85" applyNumberFormat="1" applyFont="1" applyFill="1" applyBorder="1" applyAlignment="1">
      <alignment horizontal="center" vertical="center" wrapText="1"/>
      <protection/>
    </xf>
    <xf numFmtId="10" fontId="109" fillId="0" borderId="13" xfId="85" applyNumberFormat="1" applyFont="1" applyFill="1" applyBorder="1" applyAlignment="1">
      <alignment horizontal="center" vertical="center" wrapText="1"/>
      <protection/>
    </xf>
    <xf numFmtId="10" fontId="109" fillId="0" borderId="65" xfId="85" applyNumberFormat="1" applyFont="1" applyFill="1" applyBorder="1" applyAlignment="1">
      <alignment horizontal="center" vertical="center" wrapText="1"/>
      <protection/>
    </xf>
    <xf numFmtId="10" fontId="109" fillId="0" borderId="48" xfId="85" applyNumberFormat="1" applyFont="1" applyFill="1" applyBorder="1" applyAlignment="1">
      <alignment horizontal="center" vertical="center" wrapText="1"/>
      <protection/>
    </xf>
    <xf numFmtId="10" fontId="109" fillId="0" borderId="14" xfId="85" applyNumberFormat="1" applyFont="1" applyFill="1" applyBorder="1" applyAlignment="1">
      <alignment horizontal="center" vertical="center" wrapText="1"/>
      <protection/>
    </xf>
    <xf numFmtId="10" fontId="109" fillId="0" borderId="75" xfId="85" applyNumberFormat="1" applyFont="1" applyFill="1" applyBorder="1" applyAlignment="1">
      <alignment horizontal="center" vertical="center" wrapText="1"/>
      <protection/>
    </xf>
    <xf numFmtId="0" fontId="26" fillId="38" borderId="22" xfId="85" applyFont="1" applyFill="1" applyBorder="1" applyAlignment="1">
      <alignment horizontal="left" vertical="center"/>
      <protection/>
    </xf>
    <xf numFmtId="0" fontId="26" fillId="38" borderId="86" xfId="85" applyFont="1" applyFill="1" applyBorder="1" applyAlignment="1">
      <alignment horizontal="left" vertical="center"/>
      <protection/>
    </xf>
    <xf numFmtId="0" fontId="8" fillId="0" borderId="48" xfId="85" applyFont="1" applyFill="1" applyBorder="1" applyAlignment="1">
      <alignment horizontal="left" vertical="center"/>
      <protection/>
    </xf>
    <xf numFmtId="0" fontId="8" fillId="0" borderId="92" xfId="85" applyFont="1" applyFill="1" applyBorder="1" applyAlignment="1">
      <alignment horizontal="left" vertical="center"/>
      <protection/>
    </xf>
    <xf numFmtId="0" fontId="8" fillId="0" borderId="14" xfId="85" applyFont="1" applyFill="1" applyBorder="1" applyAlignment="1">
      <alignment horizontal="left" vertical="center"/>
      <protection/>
    </xf>
    <xf numFmtId="0" fontId="8" fillId="0" borderId="17" xfId="85" applyFont="1" applyFill="1" applyBorder="1" applyAlignment="1">
      <alignment horizontal="left" vertical="center"/>
      <protection/>
    </xf>
    <xf numFmtId="0" fontId="4" fillId="38" borderId="75" xfId="85" applyFont="1" applyFill="1" applyBorder="1" applyAlignment="1">
      <alignment horizontal="left" vertical="center"/>
      <protection/>
    </xf>
    <xf numFmtId="0" fontId="4" fillId="38" borderId="101" xfId="85" applyFont="1" applyFill="1" applyBorder="1" applyAlignment="1">
      <alignment horizontal="left" vertical="center"/>
      <protection/>
    </xf>
    <xf numFmtId="0" fontId="26" fillId="38" borderId="78" xfId="85" applyFont="1" applyFill="1" applyBorder="1" applyAlignment="1">
      <alignment horizontal="left" vertical="center"/>
      <protection/>
    </xf>
    <xf numFmtId="0" fontId="26" fillId="38" borderId="94" xfId="85" applyFont="1" applyFill="1" applyBorder="1" applyAlignment="1">
      <alignment horizontal="left" vertical="center"/>
      <protection/>
    </xf>
    <xf numFmtId="0" fontId="4" fillId="38" borderId="14" xfId="85" applyFont="1" applyFill="1" applyBorder="1" applyAlignment="1">
      <alignment horizontal="left" vertical="center"/>
      <protection/>
    </xf>
    <xf numFmtId="0" fontId="4" fillId="38" borderId="17" xfId="85" applyFont="1" applyFill="1" applyBorder="1" applyAlignment="1">
      <alignment horizontal="left" vertical="center"/>
      <protection/>
    </xf>
    <xf numFmtId="0" fontId="14" fillId="7" borderId="0" xfId="54" applyFont="1" applyFill="1" applyAlignment="1">
      <alignment horizontal="left" vertical="center" wrapText="1"/>
      <protection/>
    </xf>
    <xf numFmtId="0" fontId="107" fillId="7" borderId="0" xfId="54" applyFont="1" applyFill="1" applyAlignment="1">
      <alignment horizontal="left" vertical="center" wrapText="1"/>
      <protection/>
    </xf>
    <xf numFmtId="0" fontId="14" fillId="3" borderId="0" xfId="54" applyFont="1" applyFill="1" applyAlignment="1">
      <alignment horizontal="left" vertical="center" wrapText="1"/>
      <protection/>
    </xf>
    <xf numFmtId="0" fontId="107" fillId="3" borderId="0" xfId="54" applyFont="1" applyFill="1" applyAlignment="1">
      <alignment horizontal="left" vertical="center" wrapText="1"/>
      <protection/>
    </xf>
    <xf numFmtId="0" fontId="106" fillId="0" borderId="20" xfId="54" applyFont="1" applyBorder="1" applyAlignment="1">
      <alignment horizontal="left" vertical="center"/>
      <protection/>
    </xf>
    <xf numFmtId="0" fontId="106" fillId="0" borderId="55" xfId="54" applyFont="1" applyBorder="1" applyAlignment="1">
      <alignment horizontal="left" vertical="center"/>
      <protection/>
    </xf>
    <xf numFmtId="0" fontId="106" fillId="0" borderId="14" xfId="54" applyFont="1" applyBorder="1" applyAlignment="1">
      <alignment horizontal="left" vertical="center"/>
      <protection/>
    </xf>
    <xf numFmtId="0" fontId="106" fillId="0" borderId="16" xfId="54" applyFont="1" applyBorder="1" applyAlignment="1">
      <alignment horizontal="left" vertical="center"/>
      <protection/>
    </xf>
    <xf numFmtId="0" fontId="106" fillId="0" borderId="25" xfId="54" applyFont="1" applyBorder="1" applyAlignment="1">
      <alignment horizontal="left" vertical="center"/>
      <protection/>
    </xf>
    <xf numFmtId="0" fontId="106" fillId="0" borderId="56" xfId="54" applyFont="1" applyBorder="1" applyAlignment="1">
      <alignment horizontal="left" vertical="center"/>
      <protection/>
    </xf>
    <xf numFmtId="0" fontId="106" fillId="0" borderId="215" xfId="54" applyFont="1" applyFill="1" applyBorder="1" applyAlignment="1">
      <alignment horizontal="center" vertical="center" wrapText="1"/>
      <protection/>
    </xf>
    <xf numFmtId="0" fontId="106" fillId="0" borderId="121" xfId="54" applyFont="1" applyFill="1" applyBorder="1" applyAlignment="1">
      <alignment horizontal="center" vertical="center" wrapText="1"/>
      <protection/>
    </xf>
    <xf numFmtId="0" fontId="106" fillId="0" borderId="58" xfId="54" applyFont="1" applyFill="1" applyBorder="1" applyAlignment="1">
      <alignment horizontal="center" vertical="center" wrapText="1"/>
      <protection/>
    </xf>
    <xf numFmtId="0" fontId="106" fillId="0" borderId="64" xfId="54" applyFont="1" applyFill="1" applyBorder="1" applyAlignment="1">
      <alignment horizontal="center" vertical="center" wrapText="1"/>
      <protection/>
    </xf>
    <xf numFmtId="0" fontId="16" fillId="0" borderId="29" xfId="54" applyFont="1" applyFill="1" applyBorder="1" applyAlignment="1">
      <alignment horizontal="center" vertical="center" wrapText="1"/>
      <protection/>
    </xf>
    <xf numFmtId="0" fontId="16" fillId="0" borderId="65" xfId="54" applyFont="1" applyFill="1" applyBorder="1" applyAlignment="1">
      <alignment horizontal="center" vertical="center" wrapText="1"/>
      <protection/>
    </xf>
    <xf numFmtId="0" fontId="106" fillId="0" borderId="29" xfId="54" applyFont="1" applyFill="1" applyBorder="1" applyAlignment="1">
      <alignment horizontal="center" vertical="center" wrapText="1"/>
      <protection/>
    </xf>
    <xf numFmtId="0" fontId="106" fillId="0" borderId="65" xfId="54" applyFont="1" applyFill="1" applyBorder="1" applyAlignment="1">
      <alignment horizontal="center" vertical="center" wrapText="1"/>
      <protection/>
    </xf>
    <xf numFmtId="0" fontId="106" fillId="0" borderId="49" xfId="54" applyFont="1" applyFill="1" applyBorder="1" applyAlignment="1">
      <alignment horizontal="center" vertical="center" wrapText="1"/>
      <protection/>
    </xf>
    <xf numFmtId="0" fontId="106" fillId="0" borderId="139" xfId="54" applyFont="1" applyFill="1" applyBorder="1" applyAlignment="1">
      <alignment horizontal="center" vertical="center" wrapText="1"/>
      <protection/>
    </xf>
    <xf numFmtId="0" fontId="108" fillId="0" borderId="29" xfId="54" applyFont="1" applyFill="1" applyBorder="1" applyAlignment="1">
      <alignment horizontal="center" vertical="center" wrapText="1"/>
      <protection/>
    </xf>
    <xf numFmtId="0" fontId="108" fillId="0" borderId="65" xfId="54" applyFont="1" applyFill="1" applyBorder="1" applyAlignment="1">
      <alignment horizontal="center" vertical="center" wrapText="1"/>
      <protection/>
    </xf>
    <xf numFmtId="0" fontId="106" fillId="7" borderId="29" xfId="54" applyFont="1" applyFill="1" applyBorder="1" applyAlignment="1">
      <alignment horizontal="center" vertical="center" wrapText="1"/>
      <protection/>
    </xf>
    <xf numFmtId="0" fontId="106" fillId="7" borderId="65" xfId="54" applyFont="1" applyFill="1" applyBorder="1" applyAlignment="1">
      <alignment horizontal="center" vertical="center" wrapText="1"/>
      <protection/>
    </xf>
    <xf numFmtId="0" fontId="107" fillId="0" borderId="91" xfId="54" applyFont="1" applyFill="1" applyBorder="1" applyAlignment="1">
      <alignment horizontal="center" vertical="center" wrapText="1"/>
      <protection/>
    </xf>
    <xf numFmtId="0" fontId="107" fillId="0" borderId="28" xfId="54" applyFont="1" applyFill="1" applyBorder="1" applyAlignment="1">
      <alignment horizontal="center" vertical="center" wrapText="1"/>
      <protection/>
    </xf>
    <xf numFmtId="0" fontId="106" fillId="0" borderId="55" xfId="54" applyFont="1" applyFill="1" applyBorder="1" applyAlignment="1">
      <alignment horizontal="center" vertical="center" wrapText="1"/>
      <protection/>
    </xf>
    <xf numFmtId="0" fontId="107" fillId="0" borderId="56" xfId="54" applyFont="1" applyFill="1" applyBorder="1" applyAlignment="1">
      <alignment horizontal="center" vertical="center" wrapText="1"/>
      <protection/>
    </xf>
    <xf numFmtId="0" fontId="88" fillId="0" borderId="215" xfId="50" applyBorder="1" applyAlignment="1">
      <alignment horizontal="center" vertical="center"/>
      <protection/>
    </xf>
    <xf numFmtId="0" fontId="88" fillId="0" borderId="121" xfId="50" applyBorder="1" applyAlignment="1">
      <alignment horizontal="center" vertical="center"/>
      <protection/>
    </xf>
    <xf numFmtId="0" fontId="106" fillId="3" borderId="29" xfId="54" applyFont="1" applyFill="1" applyBorder="1" applyAlignment="1">
      <alignment horizontal="center" vertical="center" wrapText="1"/>
      <protection/>
    </xf>
    <xf numFmtId="0" fontId="106" fillId="3" borderId="65" xfId="54" applyFont="1" applyFill="1" applyBorder="1" applyAlignment="1">
      <alignment horizontal="center" vertical="center" wrapText="1"/>
      <protection/>
    </xf>
    <xf numFmtId="0" fontId="16" fillId="0" borderId="50" xfId="54" applyFont="1" applyFill="1" applyBorder="1" applyAlignment="1">
      <alignment horizontal="center" vertical="center" wrapText="1"/>
      <protection/>
    </xf>
    <xf numFmtId="0" fontId="16" fillId="0" borderId="54" xfId="54" applyFont="1" applyFill="1" applyBorder="1" applyAlignment="1">
      <alignment horizontal="center" vertical="center" wrapText="1"/>
      <protection/>
    </xf>
    <xf numFmtId="0" fontId="107" fillId="0" borderId="20" xfId="54" applyFont="1" applyFill="1" applyBorder="1" applyAlignment="1">
      <alignment vertical="center" wrapText="1"/>
      <protection/>
    </xf>
    <xf numFmtId="0" fontId="107" fillId="0" borderId="25" xfId="54" applyFont="1" applyFill="1" applyBorder="1" applyAlignment="1">
      <alignment vertical="center" wrapText="1"/>
      <protection/>
    </xf>
    <xf numFmtId="0" fontId="106" fillId="0" borderId="20" xfId="54" applyFont="1" applyFill="1" applyBorder="1" applyAlignment="1">
      <alignment horizontal="center" vertical="center" wrapText="1"/>
      <protection/>
    </xf>
    <xf numFmtId="0" fontId="106" fillId="0" borderId="25" xfId="54" applyFont="1" applyFill="1" applyBorder="1" applyAlignment="1">
      <alignment horizontal="center" vertical="center" wrapText="1"/>
      <protection/>
    </xf>
    <xf numFmtId="0" fontId="108" fillId="0" borderId="50" xfId="54" applyFont="1" applyFill="1" applyBorder="1" applyAlignment="1">
      <alignment horizontal="center" vertical="center" wrapText="1"/>
      <protection/>
    </xf>
    <xf numFmtId="0" fontId="108" fillId="0" borderId="54" xfId="54" applyFont="1" applyFill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/>
      <protection/>
    </xf>
    <xf numFmtId="164" fontId="7" fillId="0" borderId="0" xfId="46" applyNumberFormat="1" applyFont="1" applyAlignment="1">
      <alignment horizontal="left" vertical="center" wrapText="1"/>
      <protection/>
    </xf>
    <xf numFmtId="0" fontId="10" fillId="0" borderId="20" xfId="46" applyFont="1" applyBorder="1" applyAlignment="1">
      <alignment horizontal="center" vertical="center" wrapText="1"/>
      <protection/>
    </xf>
    <xf numFmtId="0" fontId="10" fillId="0" borderId="91" xfId="46" applyFont="1" applyBorder="1" applyAlignment="1">
      <alignment horizontal="center" vertical="center" wrapText="1"/>
      <protection/>
    </xf>
    <xf numFmtId="0" fontId="10" fillId="0" borderId="55" xfId="46" applyFont="1" applyBorder="1" applyAlignment="1">
      <alignment horizontal="center" vertical="center" wrapText="1"/>
      <protection/>
    </xf>
    <xf numFmtId="0" fontId="10" fillId="0" borderId="25" xfId="46" applyFont="1" applyBorder="1" applyAlignment="1">
      <alignment horizontal="center" vertical="center" wrapText="1"/>
      <protection/>
    </xf>
    <xf numFmtId="0" fontId="10" fillId="0" borderId="28" xfId="46" applyFont="1" applyBorder="1" applyAlignment="1">
      <alignment horizontal="center" vertical="center" wrapText="1"/>
      <protection/>
    </xf>
    <xf numFmtId="0" fontId="10" fillId="0" borderId="56" xfId="46" applyFont="1" applyBorder="1" applyAlignment="1">
      <alignment horizontal="center" vertical="center" wrapText="1"/>
      <protection/>
    </xf>
    <xf numFmtId="0" fontId="0" fillId="0" borderId="61" xfId="46" applyFill="1" applyBorder="1" applyAlignment="1">
      <alignment horizontal="left" vertical="center"/>
      <protection/>
    </xf>
    <xf numFmtId="0" fontId="0" fillId="0" borderId="17" xfId="46" applyFill="1" applyBorder="1" applyAlignment="1">
      <alignment horizontal="left" vertical="center"/>
      <protection/>
    </xf>
    <xf numFmtId="0" fontId="0" fillId="0" borderId="16" xfId="46" applyFill="1" applyBorder="1" applyAlignment="1">
      <alignment horizontal="left" vertical="center"/>
      <protection/>
    </xf>
    <xf numFmtId="0" fontId="0" fillId="0" borderId="61" xfId="46" applyFill="1" applyBorder="1" applyAlignment="1">
      <alignment horizontal="left" vertical="center" wrapText="1"/>
      <protection/>
    </xf>
    <xf numFmtId="0" fontId="0" fillId="0" borderId="17" xfId="46" applyFill="1" applyBorder="1" applyAlignment="1">
      <alignment horizontal="left" vertical="center" wrapText="1"/>
      <protection/>
    </xf>
    <xf numFmtId="0" fontId="0" fillId="0" borderId="16" xfId="46" applyFill="1" applyBorder="1" applyAlignment="1">
      <alignment horizontal="left" vertical="center" wrapText="1"/>
      <protection/>
    </xf>
    <xf numFmtId="3" fontId="0" fillId="0" borderId="61" xfId="46" applyNumberFormat="1" applyFill="1" applyBorder="1" applyAlignment="1">
      <alignment horizontal="left" vertical="center" wrapText="1"/>
      <protection/>
    </xf>
    <xf numFmtId="3" fontId="0" fillId="0" borderId="17" xfId="46" applyNumberFormat="1" applyFill="1" applyBorder="1" applyAlignment="1">
      <alignment horizontal="left" vertical="center" wrapText="1"/>
      <protection/>
    </xf>
    <xf numFmtId="3" fontId="0" fillId="0" borderId="16" xfId="46" applyNumberFormat="1" applyFill="1" applyBorder="1" applyAlignment="1">
      <alignment horizontal="left" vertical="center" wrapText="1"/>
      <protection/>
    </xf>
    <xf numFmtId="0" fontId="41" fillId="0" borderId="49" xfId="63" applyNumberFormat="1" applyFont="1" applyFill="1" applyBorder="1" applyAlignment="1" applyProtection="1">
      <alignment horizontal="center" vertical="center" wrapText="1"/>
      <protection/>
    </xf>
    <xf numFmtId="0" fontId="41" fillId="0" borderId="88" xfId="63" applyNumberFormat="1" applyFont="1" applyFill="1" applyBorder="1" applyAlignment="1" applyProtection="1">
      <alignment horizontal="center" vertical="center" wrapText="1"/>
      <protection/>
    </xf>
    <xf numFmtId="0" fontId="41" fillId="0" borderId="80" xfId="63" applyNumberFormat="1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center" vertical="center" wrapText="1"/>
      <protection/>
    </xf>
    <xf numFmtId="0" fontId="41" fillId="0" borderId="139" xfId="63" applyNumberFormat="1" applyFont="1" applyFill="1" applyBorder="1" applyAlignment="1" applyProtection="1">
      <alignment horizontal="center" vertical="center" wrapText="1"/>
      <protection/>
    </xf>
    <xf numFmtId="0" fontId="41" fillId="0" borderId="94" xfId="63" applyNumberFormat="1" applyFont="1" applyFill="1" applyBorder="1" applyAlignment="1" applyProtection="1">
      <alignment horizontal="center" vertical="center" wrapText="1"/>
      <protection/>
    </xf>
    <xf numFmtId="166" fontId="36" fillId="4" borderId="99" xfId="88" applyNumberFormat="1" applyFont="1" applyFill="1" applyBorder="1" applyAlignment="1" applyProtection="1">
      <alignment horizontal="center" vertical="center"/>
      <protection/>
    </xf>
    <xf numFmtId="166" fontId="36" fillId="4" borderId="92" xfId="88" applyNumberFormat="1" applyFont="1" applyFill="1" applyBorder="1" applyAlignment="1" applyProtection="1">
      <alignment horizontal="center" vertical="center"/>
      <protection/>
    </xf>
    <xf numFmtId="166" fontId="36" fillId="4" borderId="84" xfId="88" applyNumberFormat="1" applyFont="1" applyFill="1" applyBorder="1" applyAlignment="1" applyProtection="1">
      <alignment horizontal="center" vertical="center"/>
      <protection/>
    </xf>
    <xf numFmtId="166" fontId="41" fillId="2" borderId="99" xfId="88" applyNumberFormat="1" applyFont="1" applyFill="1" applyBorder="1" applyAlignment="1" applyProtection="1">
      <alignment horizontal="center" vertical="center" wrapText="1"/>
      <protection/>
    </xf>
    <xf numFmtId="166" fontId="41" fillId="2" borderId="92" xfId="88" applyNumberFormat="1" applyFont="1" applyFill="1" applyBorder="1" applyAlignment="1" applyProtection="1">
      <alignment horizontal="center" vertical="center" wrapText="1"/>
      <protection/>
    </xf>
    <xf numFmtId="166" fontId="41" fillId="2" borderId="84" xfId="88" applyNumberFormat="1" applyFont="1" applyFill="1" applyBorder="1" applyAlignment="1" applyProtection="1">
      <alignment horizontal="center" vertical="center" wrapText="1"/>
      <protection/>
    </xf>
    <xf numFmtId="0" fontId="36" fillId="7" borderId="58" xfId="63" applyFont="1" applyFill="1" applyBorder="1" applyAlignment="1">
      <alignment horizontal="center" vertical="center"/>
      <protection/>
    </xf>
    <xf numFmtId="0" fontId="36" fillId="7" borderId="29" xfId="63" applyFont="1" applyFill="1" applyBorder="1" applyAlignment="1">
      <alignment horizontal="center" vertical="center"/>
      <protection/>
    </xf>
    <xf numFmtId="0" fontId="36" fillId="7" borderId="50" xfId="63" applyFont="1" applyFill="1" applyBorder="1" applyAlignment="1">
      <alignment horizontal="center" vertical="center"/>
      <protection/>
    </xf>
    <xf numFmtId="0" fontId="41" fillId="3" borderId="128" xfId="63" applyFont="1" applyFill="1" applyBorder="1" applyAlignment="1">
      <alignment horizontal="center" vertical="center" wrapText="1"/>
      <protection/>
    </xf>
    <xf numFmtId="0" fontId="41" fillId="3" borderId="153" xfId="63" applyFont="1" applyFill="1" applyBorder="1" applyAlignment="1">
      <alignment horizontal="center" vertical="center" wrapText="1"/>
      <protection/>
    </xf>
    <xf numFmtId="0" fontId="41" fillId="3" borderId="122" xfId="63" applyFont="1" applyFill="1" applyBorder="1" applyAlignment="1">
      <alignment horizontal="center" vertical="center" wrapText="1"/>
      <protection/>
    </xf>
    <xf numFmtId="0" fontId="41" fillId="3" borderId="84" xfId="63" applyFont="1" applyFill="1" applyBorder="1" applyAlignment="1">
      <alignment horizontal="center" vertical="center" wrapText="1"/>
      <protection/>
    </xf>
    <xf numFmtId="0" fontId="41" fillId="3" borderId="52" xfId="63" applyFont="1" applyFill="1" applyBorder="1" applyAlignment="1">
      <alignment horizontal="center" vertical="center" wrapText="1"/>
      <protection/>
    </xf>
    <xf numFmtId="0" fontId="41" fillId="3" borderId="76" xfId="63" applyFont="1" applyFill="1" applyBorder="1" applyAlignment="1">
      <alignment horizontal="center" vertical="center" wrapText="1"/>
      <protection/>
    </xf>
    <xf numFmtId="0" fontId="41" fillId="4" borderId="85" xfId="63" applyFont="1" applyFill="1" applyBorder="1" applyAlignment="1">
      <alignment horizontal="center" vertical="center" wrapText="1"/>
      <protection/>
    </xf>
    <xf numFmtId="0" fontId="41" fillId="4" borderId="19" xfId="63" applyFont="1" applyFill="1" applyBorder="1" applyAlignment="1">
      <alignment horizontal="center" vertical="center" wrapText="1"/>
      <protection/>
    </xf>
    <xf numFmtId="0" fontId="41" fillId="4" borderId="67" xfId="63" applyFont="1" applyFill="1" applyBorder="1" applyAlignment="1">
      <alignment horizontal="center" vertical="center" wrapText="1"/>
      <protection/>
    </xf>
    <xf numFmtId="0" fontId="41" fillId="4" borderId="68" xfId="63" applyFont="1" applyFill="1" applyBorder="1" applyAlignment="1">
      <alignment horizontal="center" vertical="center" wrapText="1"/>
      <protection/>
    </xf>
    <xf numFmtId="0" fontId="41" fillId="4" borderId="20" xfId="63" applyFont="1" applyFill="1" applyBorder="1" applyAlignment="1">
      <alignment horizontal="center" vertical="center" wrapText="1"/>
      <protection/>
    </xf>
    <xf numFmtId="0" fontId="41" fillId="4" borderId="55" xfId="63" applyFont="1" applyFill="1" applyBorder="1" applyAlignment="1">
      <alignment horizontal="center" vertical="center" wrapText="1"/>
      <protection/>
    </xf>
    <xf numFmtId="0" fontId="41" fillId="4" borderId="78" xfId="63" applyFont="1" applyFill="1" applyBorder="1" applyAlignment="1">
      <alignment horizontal="center" vertical="center" wrapText="1"/>
      <protection/>
    </xf>
    <xf numFmtId="0" fontId="41" fillId="4" borderId="79" xfId="63" applyFont="1" applyFill="1" applyBorder="1" applyAlignment="1">
      <alignment horizontal="center" vertical="center" wrapText="1"/>
      <protection/>
    </xf>
    <xf numFmtId="0" fontId="41" fillId="7" borderId="142" xfId="63" applyFont="1" applyFill="1" applyBorder="1" applyAlignment="1">
      <alignment horizontal="center" vertical="center"/>
      <protection/>
    </xf>
    <xf numFmtId="0" fontId="41" fillId="7" borderId="144" xfId="63" applyFont="1" applyFill="1" applyBorder="1" applyAlignment="1">
      <alignment horizontal="center" vertical="center"/>
      <protection/>
    </xf>
    <xf numFmtId="0" fontId="41" fillId="7" borderId="216" xfId="63" applyFont="1" applyFill="1" applyBorder="1" applyAlignment="1">
      <alignment horizontal="center" vertical="center"/>
      <protection/>
    </xf>
    <xf numFmtId="0" fontId="41" fillId="4" borderId="53" xfId="63" applyFont="1" applyFill="1" applyBorder="1" applyAlignment="1">
      <alignment horizontal="center" vertical="center" wrapText="1"/>
      <protection/>
    </xf>
    <xf numFmtId="0" fontId="41" fillId="4" borderId="69" xfId="63" applyFont="1" applyFill="1" applyBorder="1" applyAlignment="1">
      <alignment horizontal="center" vertical="center" wrapText="1"/>
      <protection/>
    </xf>
    <xf numFmtId="166" fontId="41" fillId="2" borderId="61" xfId="88" applyNumberFormat="1" applyFont="1" applyFill="1" applyBorder="1" applyAlignment="1" applyProtection="1">
      <alignment horizontal="center" vertical="center" wrapText="1"/>
      <protection/>
    </xf>
    <xf numFmtId="166" fontId="41" fillId="2" borderId="17" xfId="88" applyNumberFormat="1" applyFont="1" applyFill="1" applyBorder="1" applyAlignment="1" applyProtection="1">
      <alignment horizontal="center" vertical="center" wrapText="1"/>
      <protection/>
    </xf>
    <xf numFmtId="0" fontId="41" fillId="2" borderId="217" xfId="63" applyFont="1" applyFill="1" applyBorder="1" applyAlignment="1">
      <alignment horizontal="center" vertical="center" wrapText="1"/>
      <protection/>
    </xf>
    <xf numFmtId="0" fontId="41" fillId="2" borderId="218" xfId="63" applyFont="1" applyFill="1" applyBorder="1" applyAlignment="1">
      <alignment horizontal="center" vertical="center" wrapText="1"/>
      <protection/>
    </xf>
    <xf numFmtId="166" fontId="41" fillId="2" borderId="14" xfId="88" applyNumberFormat="1" applyFont="1" applyFill="1" applyBorder="1" applyAlignment="1" applyProtection="1">
      <alignment horizontal="center" vertical="center"/>
      <protection/>
    </xf>
    <xf numFmtId="166" fontId="41" fillId="2" borderId="17" xfId="88" applyNumberFormat="1" applyFont="1" applyFill="1" applyBorder="1" applyAlignment="1" applyProtection="1">
      <alignment horizontal="center" vertical="center"/>
      <protection/>
    </xf>
    <xf numFmtId="166" fontId="41" fillId="2" borderId="146" xfId="88" applyNumberFormat="1" applyFont="1" applyFill="1" applyBorder="1" applyAlignment="1" applyProtection="1">
      <alignment horizontal="center" vertical="center"/>
      <protection/>
    </xf>
    <xf numFmtId="166" fontId="41" fillId="2" borderId="219" xfId="88" applyNumberFormat="1" applyFont="1" applyFill="1" applyBorder="1" applyAlignment="1" applyProtection="1">
      <alignment horizontal="center" vertical="center" wrapText="1"/>
      <protection/>
    </xf>
    <xf numFmtId="166" fontId="41" fillId="2" borderId="148" xfId="88" applyNumberFormat="1" applyFont="1" applyFill="1" applyBorder="1" applyAlignment="1" applyProtection="1">
      <alignment horizontal="center" vertical="center" wrapText="1"/>
      <protection/>
    </xf>
    <xf numFmtId="166" fontId="41" fillId="2" borderId="144" xfId="88" applyNumberFormat="1" applyFont="1" applyFill="1" applyBorder="1" applyAlignment="1" applyProtection="1">
      <alignment horizontal="center" vertical="center" wrapText="1"/>
      <protection/>
    </xf>
    <xf numFmtId="166" fontId="41" fillId="2" borderId="140" xfId="88" applyNumberFormat="1" applyFont="1" applyFill="1" applyBorder="1" applyAlignment="1" applyProtection="1">
      <alignment horizontal="center" vertical="center" wrapText="1"/>
      <protection/>
    </xf>
    <xf numFmtId="0" fontId="41" fillId="7" borderId="61" xfId="63" applyFont="1" applyFill="1" applyBorder="1" applyAlignment="1">
      <alignment horizontal="center" vertical="center"/>
      <protection/>
    </xf>
    <xf numFmtId="0" fontId="41" fillId="7" borderId="17" xfId="63" applyFont="1" applyFill="1" applyBorder="1" applyAlignment="1">
      <alignment horizontal="center" vertical="center"/>
      <protection/>
    </xf>
    <xf numFmtId="0" fontId="41" fillId="7" borderId="146" xfId="63" applyFont="1" applyFill="1" applyBorder="1" applyAlignment="1">
      <alignment horizontal="center" vertical="center"/>
      <protection/>
    </xf>
    <xf numFmtId="166" fontId="41" fillId="7" borderId="219" xfId="88" applyNumberFormat="1" applyFont="1" applyFill="1" applyBorder="1" applyAlignment="1" applyProtection="1">
      <alignment horizontal="center" vertical="center" wrapText="1"/>
      <protection/>
    </xf>
    <xf numFmtId="166" fontId="41" fillId="7" borderId="55" xfId="88" applyNumberFormat="1" applyFont="1" applyFill="1" applyBorder="1" applyAlignment="1" applyProtection="1">
      <alignment horizontal="center" vertical="center" wrapText="1"/>
      <protection/>
    </xf>
    <xf numFmtId="166" fontId="41" fillId="7" borderId="144" xfId="88" applyNumberFormat="1" applyFont="1" applyFill="1" applyBorder="1" applyAlignment="1" applyProtection="1">
      <alignment horizontal="center" vertical="center" wrapText="1"/>
      <protection/>
    </xf>
    <xf numFmtId="166" fontId="41" fillId="7" borderId="79" xfId="88" applyNumberFormat="1" applyFont="1" applyFill="1" applyBorder="1" applyAlignment="1" applyProtection="1">
      <alignment horizontal="center" vertical="center" wrapText="1"/>
      <protection/>
    </xf>
    <xf numFmtId="0" fontId="41" fillId="7" borderId="14" xfId="63" applyFont="1" applyFill="1" applyBorder="1" applyAlignment="1">
      <alignment horizontal="center" vertical="center"/>
      <protection/>
    </xf>
    <xf numFmtId="0" fontId="41" fillId="0" borderId="66" xfId="63" applyNumberFormat="1" applyFont="1" applyFill="1" applyBorder="1" applyAlignment="1" applyProtection="1">
      <alignment horizontal="left" vertical="center" wrapText="1"/>
      <protection/>
    </xf>
    <xf numFmtId="0" fontId="41" fillId="0" borderId="112" xfId="63" applyNumberFormat="1" applyFont="1" applyFill="1" applyBorder="1" applyAlignment="1" applyProtection="1">
      <alignment horizontal="left" vertical="center" wrapText="1"/>
      <protection/>
    </xf>
    <xf numFmtId="49" fontId="41" fillId="0" borderId="99" xfId="63" applyNumberFormat="1" applyFont="1" applyFill="1" applyBorder="1" applyAlignment="1" applyProtection="1">
      <alignment horizontal="center" vertical="center"/>
      <protection/>
    </xf>
    <xf numFmtId="49" fontId="41" fillId="0" borderId="84" xfId="63" applyNumberFormat="1" applyFont="1" applyFill="1" applyBorder="1" applyAlignment="1" applyProtection="1">
      <alignment horizontal="center" vertical="center"/>
      <protection/>
    </xf>
    <xf numFmtId="166" fontId="41" fillId="7" borderId="148" xfId="88" applyNumberFormat="1" applyFont="1" applyFill="1" applyBorder="1" applyAlignment="1" applyProtection="1">
      <alignment horizontal="center" vertical="center" wrapText="1"/>
      <protection/>
    </xf>
    <xf numFmtId="166" fontId="41" fillId="7" borderId="140" xfId="88" applyNumberFormat="1" applyFont="1" applyFill="1" applyBorder="1" applyAlignment="1" applyProtection="1">
      <alignment horizontal="center" vertical="center" wrapText="1"/>
      <protection/>
    </xf>
    <xf numFmtId="166" fontId="41" fillId="2" borderId="216" xfId="88" applyNumberFormat="1" applyFont="1" applyFill="1" applyBorder="1" applyAlignment="1" applyProtection="1">
      <alignment horizontal="center" vertical="center" wrapText="1"/>
      <protection/>
    </xf>
    <xf numFmtId="166" fontId="41" fillId="2" borderId="142" xfId="88" applyNumberFormat="1" applyFont="1" applyFill="1" applyBorder="1" applyAlignment="1" applyProtection="1">
      <alignment horizontal="center" vertical="center" wrapText="1"/>
      <protection/>
    </xf>
    <xf numFmtId="0" fontId="41" fillId="7" borderId="141" xfId="63" applyFont="1" applyFill="1" applyBorder="1" applyAlignment="1">
      <alignment horizontal="center" vertical="center"/>
      <protection/>
    </xf>
    <xf numFmtId="0" fontId="34" fillId="0" borderId="0" xfId="50" applyFont="1" applyAlignment="1">
      <alignment horizontal="left" vertical="center"/>
      <protection/>
    </xf>
    <xf numFmtId="0" fontId="107" fillId="0" borderId="49" xfId="50" applyFont="1" applyBorder="1" applyAlignment="1">
      <alignment horizontal="left" vertical="center" wrapText="1"/>
      <protection/>
    </xf>
    <xf numFmtId="0" fontId="107" fillId="0" borderId="82" xfId="50" applyFont="1" applyBorder="1" applyAlignment="1">
      <alignment horizontal="left" vertical="center" wrapText="1"/>
      <protection/>
    </xf>
    <xf numFmtId="0" fontId="107" fillId="0" borderId="88" xfId="50" applyFont="1" applyBorder="1" applyAlignment="1">
      <alignment horizontal="left" vertical="center" wrapText="1"/>
      <protection/>
    </xf>
    <xf numFmtId="0" fontId="121" fillId="0" borderId="0" xfId="50" applyFont="1" applyAlignment="1">
      <alignment horizontal="left" vertical="center" wrapText="1"/>
      <protection/>
    </xf>
    <xf numFmtId="0" fontId="107" fillId="0" borderId="58" xfId="50" applyFont="1" applyBorder="1" applyAlignment="1">
      <alignment horizontal="center" vertical="center" wrapText="1"/>
      <protection/>
    </xf>
    <xf numFmtId="0" fontId="107" fillId="0" borderId="64" xfId="50" applyFont="1" applyBorder="1" applyAlignment="1">
      <alignment horizontal="center" vertical="center" wrapText="1"/>
      <protection/>
    </xf>
    <xf numFmtId="0" fontId="107" fillId="0" borderId="29" xfId="50" applyFont="1" applyBorder="1" applyAlignment="1">
      <alignment horizontal="center" vertical="center" wrapText="1"/>
      <protection/>
    </xf>
    <xf numFmtId="0" fontId="107" fillId="0" borderId="65" xfId="50" applyFont="1" applyBorder="1" applyAlignment="1">
      <alignment horizontal="center" vertical="center" wrapText="1"/>
      <protection/>
    </xf>
    <xf numFmtId="0" fontId="107" fillId="0" borderId="29" xfId="50" applyFont="1" applyFill="1" applyBorder="1" applyAlignment="1">
      <alignment horizontal="center" vertical="center" wrapText="1"/>
      <protection/>
    </xf>
    <xf numFmtId="0" fontId="107" fillId="0" borderId="48" xfId="50" applyFont="1" applyFill="1" applyBorder="1" applyAlignment="1">
      <alignment horizontal="center" vertical="center" wrapText="1"/>
      <protection/>
    </xf>
    <xf numFmtId="0" fontId="107" fillId="0" borderId="215" xfId="50" applyFont="1" applyBorder="1" applyAlignment="1">
      <alignment horizontal="center" vertical="center" wrapText="1"/>
      <protection/>
    </xf>
    <xf numFmtId="0" fontId="107" fillId="0" borderId="121" xfId="50" applyFont="1" applyBorder="1" applyAlignment="1">
      <alignment horizontal="center" vertical="center" wrapText="1"/>
      <protection/>
    </xf>
    <xf numFmtId="0" fontId="121" fillId="0" borderId="0" xfId="50" applyFont="1" applyAlignment="1">
      <alignment horizontal="center" vertical="center" wrapText="1"/>
      <protection/>
    </xf>
    <xf numFmtId="0" fontId="107" fillId="0" borderId="58" xfId="47" applyFont="1" applyBorder="1" applyAlignment="1">
      <alignment horizontal="center" vertical="center" wrapText="1"/>
      <protection/>
    </xf>
    <xf numFmtId="0" fontId="107" fillId="0" borderId="220" xfId="47" applyFont="1" applyBorder="1" applyAlignment="1">
      <alignment horizontal="center" vertical="center" wrapText="1"/>
      <protection/>
    </xf>
    <xf numFmtId="0" fontId="107" fillId="0" borderId="29" xfId="47" applyFont="1" applyBorder="1" applyAlignment="1">
      <alignment horizontal="center" vertical="center" wrapText="1"/>
      <protection/>
    </xf>
    <xf numFmtId="0" fontId="107" fillId="0" borderId="176" xfId="47" applyFont="1" applyBorder="1" applyAlignment="1">
      <alignment horizontal="center" vertical="center" wrapText="1"/>
      <protection/>
    </xf>
    <xf numFmtId="0" fontId="107" fillId="0" borderId="29" xfId="47" applyFont="1" applyFill="1" applyBorder="1" applyAlignment="1">
      <alignment horizontal="center" vertical="center" wrapText="1"/>
      <protection/>
    </xf>
    <xf numFmtId="0" fontId="107" fillId="0" borderId="48" xfId="47" applyFont="1" applyFill="1" applyBorder="1" applyAlignment="1">
      <alignment horizontal="center" vertical="center" wrapText="1"/>
      <protection/>
    </xf>
    <xf numFmtId="0" fontId="107" fillId="0" borderId="73" xfId="47" applyFont="1" applyBorder="1" applyAlignment="1">
      <alignment horizontal="center" vertical="center" wrapText="1"/>
      <protection/>
    </xf>
    <xf numFmtId="0" fontId="107" fillId="0" borderId="221" xfId="47" applyFont="1" applyBorder="1" applyAlignment="1">
      <alignment horizontal="center" vertical="center" wrapText="1"/>
      <protection/>
    </xf>
    <xf numFmtId="0" fontId="6" fillId="0" borderId="7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102" xfId="86" applyFont="1" applyBorder="1" applyAlignment="1">
      <alignment horizontal="center" vertical="center"/>
      <protection/>
    </xf>
    <xf numFmtId="0" fontId="0" fillId="0" borderId="67" xfId="86" applyFont="1" applyBorder="1" applyAlignment="1">
      <alignment horizontal="center" vertical="center"/>
      <protection/>
    </xf>
    <xf numFmtId="0" fontId="8" fillId="0" borderId="215" xfId="86" applyFont="1" applyBorder="1" applyAlignment="1">
      <alignment horizontal="center" vertical="center"/>
      <protection/>
    </xf>
    <xf numFmtId="0" fontId="8" fillId="0" borderId="121" xfId="86" applyFont="1" applyBorder="1" applyAlignment="1">
      <alignment horizontal="center" vertical="center"/>
      <protection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6" xfId="52"/>
    <cellStyle name="normální 2" xfId="53"/>
    <cellStyle name="normální 2 2" xfId="54"/>
    <cellStyle name="normální 2 3" xfId="55"/>
    <cellStyle name="normální 2 3 2" xfId="56"/>
    <cellStyle name="normální 2 3 2 2" xfId="57"/>
    <cellStyle name="normální 2 3 2_PV III. Rozpis rozpočtu VŠ 2011_final_PV" xfId="58"/>
    <cellStyle name="normální 2 3_PV III. Rozpis rozpočtu VŠ 2011_final_PV" xfId="59"/>
    <cellStyle name="normální 2 4" xfId="60"/>
    <cellStyle name="normální 2 4 2" xfId="61"/>
    <cellStyle name="normální 2 4_PV III. Rozpis rozpočtu VŠ 2011_final_PV" xfId="62"/>
    <cellStyle name="normální 2 5" xfId="63"/>
    <cellStyle name="normální 2_PV III. Rozpis rozpočtu VŠ 2011_final_PV" xfId="64"/>
    <cellStyle name="normální 3" xfId="65"/>
    <cellStyle name="normální 3 2" xfId="66"/>
    <cellStyle name="normální 3_PV III. Rozpis rozpočtu VŠ 2011_final_PV" xfId="67"/>
    <cellStyle name="normální 4" xfId="68"/>
    <cellStyle name="normální 4 2" xfId="69"/>
    <cellStyle name="normální 4_PV Rozpis rozpočtu VŠ 2011 III - tabulkové přílohy" xfId="70"/>
    <cellStyle name="Normální 5" xfId="71"/>
    <cellStyle name="normální 5 2" xfId="72"/>
    <cellStyle name="Normální 6" xfId="73"/>
    <cellStyle name="Normální 6 2" xfId="74"/>
    <cellStyle name="normální 6 3" xfId="75"/>
    <cellStyle name="Normální 6 4" xfId="76"/>
    <cellStyle name="Normální 6 4 2" xfId="77"/>
    <cellStyle name="Normální 6 4 3" xfId="78"/>
    <cellStyle name="normální 7" xfId="79"/>
    <cellStyle name="Normální 8" xfId="80"/>
    <cellStyle name="Normální 8 2" xfId="81"/>
    <cellStyle name="Normální 9" xfId="82"/>
    <cellStyle name="normální_Příloha 2" xfId="83"/>
    <cellStyle name="normální_Tab.1-bilance PV" xfId="84"/>
    <cellStyle name="normální_Tabulka 1-Bilanční-návrh 13.1.04" xfId="85"/>
    <cellStyle name="normální_Ubyt a strav 2002" xfId="86"/>
    <cellStyle name="Poznámka" xfId="87"/>
    <cellStyle name="procent 2" xfId="88"/>
    <cellStyle name="procent 3" xfId="89"/>
    <cellStyle name="procent 4" xfId="90"/>
    <cellStyle name="Percent" xfId="91"/>
    <cellStyle name="Procenta 2" xfId="92"/>
    <cellStyle name="Procenta 3" xfId="93"/>
    <cellStyle name="Procenta 6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dxfs count="3"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78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78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96"/>
  <sheetViews>
    <sheetView tabSelected="1" zoomScale="77" zoomScaleNormal="77" workbookViewId="0" topLeftCell="A1">
      <selection activeCell="A8" sqref="A8:H8"/>
    </sheetView>
  </sheetViews>
  <sheetFormatPr defaultColWidth="9.140625" defaultRowHeight="12.75"/>
  <cols>
    <col min="1" max="2" width="4.8515625" style="185" bestFit="1" customWidth="1"/>
    <col min="3" max="3" width="7.28125" style="185" customWidth="1"/>
    <col min="4" max="4" width="8.7109375" style="185" customWidth="1"/>
    <col min="5" max="5" width="13.421875" style="185" customWidth="1"/>
    <col min="6" max="6" width="14.00390625" style="185" customWidth="1"/>
    <col min="7" max="7" width="15.7109375" style="185" customWidth="1"/>
    <col min="8" max="8" width="14.00390625" style="185" customWidth="1"/>
    <col min="9" max="9" width="15.140625" style="185" customWidth="1"/>
    <col min="10" max="10" width="13.7109375" style="185" customWidth="1"/>
    <col min="11" max="11" width="14.00390625" style="185" customWidth="1"/>
    <col min="12" max="12" width="13.421875" style="414" customWidth="1"/>
    <col min="13" max="13" width="13.57421875" style="185" customWidth="1"/>
    <col min="14" max="14" width="13.8515625" style="415" customWidth="1"/>
    <col min="15" max="15" width="14.421875" style="185" customWidth="1"/>
    <col min="16" max="16" width="13.00390625" style="185" customWidth="1"/>
    <col min="17" max="17" width="12.421875" style="185" customWidth="1"/>
    <col min="18" max="18" width="43.7109375" style="185" customWidth="1"/>
    <col min="19" max="19" width="10.7109375" style="185" customWidth="1"/>
    <col min="20" max="16384" width="9.140625" style="185" customWidth="1"/>
  </cols>
  <sheetData>
    <row r="1" spans="1:17" s="181" customFormat="1" ht="50.25" customHeight="1">
      <c r="A1" s="990" t="s">
        <v>142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</row>
    <row r="2" spans="1:17" ht="15">
      <c r="A2" s="182" t="s">
        <v>448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184"/>
      <c r="Q2" s="184"/>
    </row>
    <row r="3" spans="1:18" ht="15.75" thickBot="1">
      <c r="A3" s="184"/>
      <c r="B3" s="184"/>
      <c r="C3" s="183"/>
      <c r="D3" s="183"/>
      <c r="E3" s="183"/>
      <c r="F3" s="183"/>
      <c r="G3" s="183"/>
      <c r="H3" s="183"/>
      <c r="I3" s="183"/>
      <c r="J3" s="186"/>
      <c r="K3" s="186"/>
      <c r="L3" s="187"/>
      <c r="M3" s="186"/>
      <c r="N3" s="188"/>
      <c r="O3" s="184"/>
      <c r="P3" s="184"/>
      <c r="Q3"/>
      <c r="R3"/>
    </row>
    <row r="4" spans="1:18" s="196" customFormat="1" ht="32.25" customHeight="1" thickBot="1">
      <c r="A4" s="991" t="s">
        <v>143</v>
      </c>
      <c r="B4" s="992"/>
      <c r="C4" s="992"/>
      <c r="D4" s="992"/>
      <c r="E4" s="189" t="s">
        <v>144</v>
      </c>
      <c r="F4" s="190" t="s">
        <v>145</v>
      </c>
      <c r="G4" s="877" t="s">
        <v>146</v>
      </c>
      <c r="H4" s="191" t="s">
        <v>147</v>
      </c>
      <c r="I4" s="192" t="s">
        <v>148</v>
      </c>
      <c r="J4" s="993" t="s">
        <v>143</v>
      </c>
      <c r="K4" s="994"/>
      <c r="L4" s="875" t="s">
        <v>144</v>
      </c>
      <c r="M4" s="193" t="s">
        <v>145</v>
      </c>
      <c r="N4" s="194" t="s">
        <v>146</v>
      </c>
      <c r="O4" s="878" t="s">
        <v>147</v>
      </c>
      <c r="P4" s="195" t="s">
        <v>148</v>
      </c>
      <c r="Q4"/>
      <c r="R4"/>
    </row>
    <row r="5" spans="1:18" ht="33" customHeight="1">
      <c r="A5" s="995" t="s">
        <v>149</v>
      </c>
      <c r="B5" s="996"/>
      <c r="C5" s="996"/>
      <c r="D5" s="997"/>
      <c r="E5" s="197">
        <v>33012.209190902606</v>
      </c>
      <c r="F5" s="198">
        <v>30546.478380440745</v>
      </c>
      <c r="G5" s="879">
        <v>32401</v>
      </c>
      <c r="H5" s="199">
        <v>33964.52764890309</v>
      </c>
      <c r="I5" s="200">
        <f>H5/G5-1</f>
        <v>0.04825553683229189</v>
      </c>
      <c r="J5" s="998" t="s">
        <v>150</v>
      </c>
      <c r="K5" s="999"/>
      <c r="L5" s="197">
        <v>89429</v>
      </c>
      <c r="M5" s="197">
        <v>83041.32025274361</v>
      </c>
      <c r="N5" s="201">
        <v>90000</v>
      </c>
      <c r="O5" s="880">
        <v>90000</v>
      </c>
      <c r="P5" s="202">
        <f>O5/N5-1</f>
        <v>0</v>
      </c>
      <c r="Q5"/>
      <c r="R5"/>
    </row>
    <row r="6" spans="1:18" ht="30.75" customHeight="1">
      <c r="A6" s="1000" t="s">
        <v>71</v>
      </c>
      <c r="B6" s="1001"/>
      <c r="C6" s="1001"/>
      <c r="D6" s="1002"/>
      <c r="E6" s="203">
        <v>26428.29909612293</v>
      </c>
      <c r="F6" s="204">
        <v>24437.1827043526</v>
      </c>
      <c r="G6" s="881">
        <v>25111</v>
      </c>
      <c r="H6" s="205">
        <v>26322.509671198848</v>
      </c>
      <c r="I6" s="206">
        <f>H6/G6-1</f>
        <v>0.04824617383612151</v>
      </c>
      <c r="J6" s="1003" t="s">
        <v>151</v>
      </c>
      <c r="K6" s="1004"/>
      <c r="L6" s="207">
        <v>5800</v>
      </c>
      <c r="M6" s="207">
        <v>5367.246073263169</v>
      </c>
      <c r="N6" s="208">
        <v>5400</v>
      </c>
      <c r="O6" s="882">
        <v>5400</v>
      </c>
      <c r="P6" s="206">
        <f>O6/N6-1</f>
        <v>0</v>
      </c>
      <c r="Q6"/>
      <c r="R6"/>
    </row>
    <row r="7" spans="1:18" ht="33" customHeight="1" thickBot="1">
      <c r="A7" s="1005" t="s">
        <v>152</v>
      </c>
      <c r="B7" s="1006"/>
      <c r="C7" s="1006"/>
      <c r="D7" s="1006"/>
      <c r="E7" s="209">
        <v>15253.994069753577</v>
      </c>
      <c r="F7" s="210" t="s">
        <v>153</v>
      </c>
      <c r="G7" s="883" t="s">
        <v>153</v>
      </c>
      <c r="H7" s="211" t="s">
        <v>153</v>
      </c>
      <c r="I7" s="212" t="s">
        <v>153</v>
      </c>
      <c r="J7" s="1003" t="s">
        <v>154</v>
      </c>
      <c r="K7" s="1004"/>
      <c r="L7" s="207">
        <v>1620</v>
      </c>
      <c r="M7" s="207">
        <v>1620</v>
      </c>
      <c r="N7" s="208">
        <v>1620</v>
      </c>
      <c r="O7" s="882">
        <v>1620</v>
      </c>
      <c r="P7" s="206">
        <f>O7/N7-1</f>
        <v>0</v>
      </c>
      <c r="Q7"/>
      <c r="R7"/>
    </row>
    <row r="8" spans="1:18" ht="30.75" customHeight="1" thickBot="1">
      <c r="A8" s="1007"/>
      <c r="B8" s="1007"/>
      <c r="C8" s="1007"/>
      <c r="D8" s="1007"/>
      <c r="E8" s="1007"/>
      <c r="F8" s="1007"/>
      <c r="G8" s="1007"/>
      <c r="H8" s="1007"/>
      <c r="I8" s="874"/>
      <c r="J8" s="1008" t="s">
        <v>155</v>
      </c>
      <c r="K8" s="1009"/>
      <c r="L8" s="213">
        <v>19.3995</v>
      </c>
      <c r="M8" s="213">
        <v>17.95</v>
      </c>
      <c r="N8" s="214">
        <v>17.95</v>
      </c>
      <c r="O8" s="884">
        <v>17.95</v>
      </c>
      <c r="P8" s="215">
        <f>O8/N8-1</f>
        <v>0</v>
      </c>
      <c r="Q8"/>
      <c r="R8"/>
    </row>
    <row r="9" spans="1:17" ht="15.75" thickBot="1">
      <c r="A9" s="1010"/>
      <c r="B9" s="1010"/>
      <c r="C9" s="1010"/>
      <c r="D9" s="1010"/>
      <c r="E9" s="1010"/>
      <c r="F9" s="1010"/>
      <c r="G9" s="1010"/>
      <c r="H9" s="1010"/>
      <c r="I9" s="1010"/>
      <c r="J9" s="216"/>
      <c r="K9" s="216"/>
      <c r="L9" s="216"/>
      <c r="M9" s="216"/>
      <c r="N9" s="216"/>
      <c r="O9" s="184"/>
      <c r="P9" s="184"/>
      <c r="Q9" s="184"/>
    </row>
    <row r="10" spans="1:17" ht="14.25" customHeight="1">
      <c r="A10" s="1011" t="s">
        <v>156</v>
      </c>
      <c r="B10" s="1013" t="s">
        <v>157</v>
      </c>
      <c r="C10" s="1015" t="s">
        <v>158</v>
      </c>
      <c r="D10" s="1016"/>
      <c r="E10" s="1016"/>
      <c r="F10" s="1016"/>
      <c r="G10" s="1017"/>
      <c r="H10" s="1024" t="s">
        <v>159</v>
      </c>
      <c r="I10" s="1024" t="s">
        <v>160</v>
      </c>
      <c r="J10" s="1041" t="s">
        <v>161</v>
      </c>
      <c r="K10" s="1044" t="s">
        <v>162</v>
      </c>
      <c r="L10" s="1024" t="s">
        <v>163</v>
      </c>
      <c r="M10" s="1027" t="s">
        <v>164</v>
      </c>
      <c r="N10" s="984" t="s">
        <v>165</v>
      </c>
      <c r="O10" s="987" t="s">
        <v>166</v>
      </c>
      <c r="P10" s="1027" t="s">
        <v>164</v>
      </c>
      <c r="Q10" s="1030" t="s">
        <v>165</v>
      </c>
    </row>
    <row r="11" spans="1:17" ht="14.25" customHeight="1">
      <c r="A11" s="1012"/>
      <c r="B11" s="1014"/>
      <c r="C11" s="1018"/>
      <c r="D11" s="1019"/>
      <c r="E11" s="1019"/>
      <c r="F11" s="1019"/>
      <c r="G11" s="1020"/>
      <c r="H11" s="1025"/>
      <c r="I11" s="1025"/>
      <c r="J11" s="1042"/>
      <c r="K11" s="1045"/>
      <c r="L11" s="1025"/>
      <c r="M11" s="1028"/>
      <c r="N11" s="985"/>
      <c r="O11" s="988"/>
      <c r="P11" s="1028"/>
      <c r="Q11" s="1031"/>
    </row>
    <row r="12" spans="1:17" s="217" customFormat="1" ht="14.25" customHeight="1" thickBot="1">
      <c r="A12" s="1012"/>
      <c r="B12" s="1014"/>
      <c r="C12" s="1021"/>
      <c r="D12" s="1022"/>
      <c r="E12" s="1022"/>
      <c r="F12" s="1022"/>
      <c r="G12" s="1023"/>
      <c r="H12" s="1026"/>
      <c r="I12" s="1026"/>
      <c r="J12" s="1043"/>
      <c r="K12" s="1046"/>
      <c r="L12" s="1026"/>
      <c r="M12" s="1029"/>
      <c r="N12" s="986"/>
      <c r="O12" s="989"/>
      <c r="P12" s="1029"/>
      <c r="Q12" s="1032"/>
    </row>
    <row r="13" spans="1:17" s="225" customFormat="1" ht="16.5" thickBot="1">
      <c r="A13" s="218"/>
      <c r="B13" s="219"/>
      <c r="C13" s="1033">
        <v>1</v>
      </c>
      <c r="D13" s="1034"/>
      <c r="E13" s="1034"/>
      <c r="F13" s="1034"/>
      <c r="G13" s="1034"/>
      <c r="H13" s="220">
        <v>3</v>
      </c>
      <c r="I13" s="220">
        <v>6</v>
      </c>
      <c r="J13" s="221">
        <v>4</v>
      </c>
      <c r="K13" s="222">
        <v>5</v>
      </c>
      <c r="L13" s="220">
        <v>9</v>
      </c>
      <c r="M13" s="223">
        <v>7</v>
      </c>
      <c r="N13" s="222">
        <v>8</v>
      </c>
      <c r="O13" s="885">
        <v>9</v>
      </c>
      <c r="P13" s="223">
        <v>10</v>
      </c>
      <c r="Q13" s="224">
        <v>11</v>
      </c>
    </row>
    <row r="14" spans="1:17" ht="14.25">
      <c r="A14" s="226"/>
      <c r="B14" s="227"/>
      <c r="C14" s="228"/>
      <c r="D14" s="186"/>
      <c r="E14" s="186"/>
      <c r="F14" s="186"/>
      <c r="G14" s="186"/>
      <c r="H14" s="229"/>
      <c r="I14" s="229"/>
      <c r="J14" s="230"/>
      <c r="K14" s="230"/>
      <c r="L14" s="229"/>
      <c r="M14" s="230"/>
      <c r="N14" s="231"/>
      <c r="O14" s="886"/>
      <c r="P14" s="230"/>
      <c r="Q14" s="232"/>
    </row>
    <row r="15" spans="1:19" ht="15.75" thickBot="1">
      <c r="A15" s="226"/>
      <c r="B15" s="227"/>
      <c r="C15" s="233" t="s">
        <v>167</v>
      </c>
      <c r="D15" s="186"/>
      <c r="E15" s="186"/>
      <c r="F15" s="186"/>
      <c r="G15" s="186"/>
      <c r="H15" s="229"/>
      <c r="I15" s="229"/>
      <c r="J15" s="230"/>
      <c r="K15" s="230"/>
      <c r="L15" s="229"/>
      <c r="M15" s="230"/>
      <c r="N15" s="231"/>
      <c r="O15" s="887"/>
      <c r="P15" s="230"/>
      <c r="Q15" s="232"/>
      <c r="S15" s="471"/>
    </row>
    <row r="16" spans="1:19" ht="14.25">
      <c r="A16" s="234" t="s">
        <v>168</v>
      </c>
      <c r="B16" s="235"/>
      <c r="C16" s="1035" t="s">
        <v>169</v>
      </c>
      <c r="D16" s="1036"/>
      <c r="E16" s="1036"/>
      <c r="F16" s="1036"/>
      <c r="G16" s="1036"/>
      <c r="H16" s="236">
        <v>13288205</v>
      </c>
      <c r="I16" s="236">
        <v>12382584</v>
      </c>
      <c r="J16" s="237">
        <f>I16/$I$59</f>
        <v>0.6412931904732212</v>
      </c>
      <c r="K16" s="238">
        <f>I16/H16-1</f>
        <v>-0.06815224479152748</v>
      </c>
      <c r="L16" s="236">
        <f>12325278</f>
        <v>12325278</v>
      </c>
      <c r="M16" s="239">
        <f>L16/$L$58</f>
        <v>0.6222131286078713</v>
      </c>
      <c r="N16" s="238">
        <f>L16/I16-1</f>
        <v>-0.004627951645633899</v>
      </c>
      <c r="O16" s="888">
        <v>12394580</v>
      </c>
      <c r="P16" s="239">
        <f>O16/$O$58</f>
        <v>0.6226156954101999</v>
      </c>
      <c r="Q16" s="240">
        <f>O16/L16-1</f>
        <v>0.005622753498947475</v>
      </c>
      <c r="R16" s="241"/>
      <c r="S16" s="471"/>
    </row>
    <row r="17" spans="1:19" ht="14.25">
      <c r="A17" s="242" t="s">
        <v>168</v>
      </c>
      <c r="B17" s="243"/>
      <c r="C17" s="1037" t="s">
        <v>170</v>
      </c>
      <c r="D17" s="1038"/>
      <c r="E17" s="1038"/>
      <c r="F17" s="1038"/>
      <c r="G17" s="1038"/>
      <c r="H17" s="244">
        <v>1655202</v>
      </c>
      <c r="I17" s="245" t="s">
        <v>153</v>
      </c>
      <c r="J17" s="246" t="s">
        <v>153</v>
      </c>
      <c r="K17" s="247" t="s">
        <v>153</v>
      </c>
      <c r="L17" s="245" t="s">
        <v>153</v>
      </c>
      <c r="M17" s="248" t="s">
        <v>153</v>
      </c>
      <c r="N17" s="247" t="s">
        <v>153</v>
      </c>
      <c r="O17" s="889" t="s">
        <v>153</v>
      </c>
      <c r="P17" s="248" t="s">
        <v>153</v>
      </c>
      <c r="Q17" s="249" t="s">
        <v>153</v>
      </c>
      <c r="S17" s="471"/>
    </row>
    <row r="18" spans="1:19" ht="15" thickBot="1">
      <c r="A18" s="250" t="s">
        <v>168</v>
      </c>
      <c r="B18" s="251"/>
      <c r="C18" s="1039" t="s">
        <v>171</v>
      </c>
      <c r="D18" s="1040"/>
      <c r="E18" s="1040"/>
      <c r="F18" s="1040"/>
      <c r="G18" s="1040"/>
      <c r="H18" s="252">
        <v>1655202</v>
      </c>
      <c r="I18" s="252">
        <v>3095646</v>
      </c>
      <c r="J18" s="253">
        <f>I18/$I$59</f>
        <v>0.1603232976183053</v>
      </c>
      <c r="K18" s="254">
        <f>I18/H18-1</f>
        <v>0.8702526942330906</v>
      </c>
      <c r="L18" s="252">
        <v>3578306</v>
      </c>
      <c r="M18" s="255">
        <f>L18/$L$58</f>
        <v>0.1806424951531574</v>
      </c>
      <c r="N18" s="256">
        <f>L18/I18-1</f>
        <v>0.15591576039379174</v>
      </c>
      <c r="O18" s="890">
        <v>3598426</v>
      </c>
      <c r="P18" s="255">
        <f>O18/$O$58</f>
        <v>0.1807593727558452</v>
      </c>
      <c r="Q18" s="257">
        <f>O18/L18-1</f>
        <v>0.005622772339760829</v>
      </c>
      <c r="R18" s="241"/>
      <c r="S18" s="471"/>
    </row>
    <row r="19" spans="1:18" s="267" customFormat="1" ht="15.75" thickBot="1">
      <c r="A19" s="258"/>
      <c r="B19" s="259"/>
      <c r="C19" s="1047" t="s">
        <v>172</v>
      </c>
      <c r="D19" s="1048"/>
      <c r="E19" s="1048"/>
      <c r="F19" s="1048"/>
      <c r="G19" s="1048"/>
      <c r="H19" s="260">
        <f>SUM(H16:H18)</f>
        <v>16598609</v>
      </c>
      <c r="I19" s="260">
        <f>SUM(I16:I18)</f>
        <v>15478230</v>
      </c>
      <c r="J19" s="261">
        <f>I19/$I$59</f>
        <v>0.8016164880915265</v>
      </c>
      <c r="K19" s="262">
        <f>I19/H19-1</f>
        <v>-0.06749836688122479</v>
      </c>
      <c r="L19" s="260">
        <f>SUM(L16:L18)</f>
        <v>15903584</v>
      </c>
      <c r="M19" s="263">
        <f>L19/$L$58</f>
        <v>0.8028556237610287</v>
      </c>
      <c r="N19" s="264">
        <f aca="true" t="shared" si="0" ref="N19:N61">L19/I19-1</f>
        <v>0.027480790762251184</v>
      </c>
      <c r="O19" s="891">
        <f>SUM(O18,O16)</f>
        <v>15993006</v>
      </c>
      <c r="P19" s="263">
        <f>O19/$O$58</f>
        <v>0.8033750681660451</v>
      </c>
      <c r="Q19" s="265">
        <f>O19/L19-1</f>
        <v>0.005622757738130035</v>
      </c>
      <c r="R19" s="266"/>
    </row>
    <row r="20" spans="1:18" ht="14.25">
      <c r="A20" s="226"/>
      <c r="B20" s="227"/>
      <c r="C20" s="228"/>
      <c r="D20" s="186"/>
      <c r="E20" s="186"/>
      <c r="F20" s="186"/>
      <c r="G20" s="186"/>
      <c r="H20" s="268"/>
      <c r="I20" s="268"/>
      <c r="J20" s="269"/>
      <c r="K20" s="269"/>
      <c r="L20" s="268"/>
      <c r="M20" s="269"/>
      <c r="N20" s="270"/>
      <c r="O20" s="892"/>
      <c r="P20" s="269"/>
      <c r="Q20" s="271"/>
      <c r="R20" s="272"/>
    </row>
    <row r="21" spans="1:17" ht="15" thickBot="1">
      <c r="A21" s="226"/>
      <c r="B21" s="227"/>
      <c r="C21" s="228" t="s">
        <v>173</v>
      </c>
      <c r="D21" s="186"/>
      <c r="E21" s="186"/>
      <c r="F21" s="186"/>
      <c r="G21" s="186"/>
      <c r="H21" s="268"/>
      <c r="I21" s="268"/>
      <c r="J21" s="273"/>
      <c r="K21" s="273"/>
      <c r="L21" s="268"/>
      <c r="M21" s="273"/>
      <c r="N21" s="273"/>
      <c r="O21" s="892"/>
      <c r="P21" s="273"/>
      <c r="Q21" s="274"/>
    </row>
    <row r="22" spans="1:19" ht="14.25">
      <c r="A22" s="234" t="s">
        <v>168</v>
      </c>
      <c r="B22" s="235"/>
      <c r="C22" s="1049" t="s">
        <v>174</v>
      </c>
      <c r="D22" s="1050"/>
      <c r="E22" s="1050"/>
      <c r="F22" s="1050"/>
      <c r="G22" s="1050"/>
      <c r="H22" s="275">
        <v>1054455</v>
      </c>
      <c r="I22" s="275">
        <v>998821</v>
      </c>
      <c r="J22" s="276">
        <f aca="true" t="shared" si="1" ref="J22:J28">I22/$I$59</f>
        <v>0.0517288722452158</v>
      </c>
      <c r="K22" s="277">
        <f aca="true" t="shared" si="2" ref="K22:K28">I22/H22-1</f>
        <v>-0.052760904922448115</v>
      </c>
      <c r="L22" s="275">
        <v>1084050</v>
      </c>
      <c r="M22" s="278">
        <f aca="true" t="shared" si="3" ref="M22:M28">L22/$L$58</f>
        <v>0.05472575483225311</v>
      </c>
      <c r="N22" s="277">
        <f t="shared" si="0"/>
        <v>0.08532960360264763</v>
      </c>
      <c r="O22" s="893">
        <v>1092690</v>
      </c>
      <c r="P22" s="278">
        <f aca="true" t="shared" si="4" ref="P22:P28">O22/$O$58</f>
        <v>0.054888987300721066</v>
      </c>
      <c r="Q22" s="279">
        <f aca="true" t="shared" si="5" ref="Q22:Q28">O22/L22-1</f>
        <v>0.007970112079701108</v>
      </c>
      <c r="R22" s="471"/>
      <c r="S22" s="471"/>
    </row>
    <row r="23" spans="1:19" ht="14.25">
      <c r="A23" s="242"/>
      <c r="B23" s="280" t="s">
        <v>175</v>
      </c>
      <c r="C23" s="1051" t="s">
        <v>176</v>
      </c>
      <c r="D23" s="1052"/>
      <c r="E23" s="1052"/>
      <c r="F23" s="1052"/>
      <c r="G23" s="1052"/>
      <c r="H23" s="281">
        <v>198340</v>
      </c>
      <c r="I23" s="281">
        <v>180629</v>
      </c>
      <c r="J23" s="282">
        <f t="shared" si="1"/>
        <v>0.009354763731220194</v>
      </c>
      <c r="K23" s="283">
        <f t="shared" si="2"/>
        <v>-0.08929615811233238</v>
      </c>
      <c r="L23" s="281">
        <v>173187</v>
      </c>
      <c r="M23" s="284">
        <f t="shared" si="3"/>
        <v>0.008742944792337455</v>
      </c>
      <c r="N23" s="283">
        <f t="shared" si="0"/>
        <v>-0.04120047168505614</v>
      </c>
      <c r="O23" s="894">
        <v>155303</v>
      </c>
      <c r="P23" s="284">
        <f t="shared" si="4"/>
        <v>0.007801320040234544</v>
      </c>
      <c r="Q23" s="285">
        <f t="shared" si="5"/>
        <v>-0.10326410180902723</v>
      </c>
      <c r="R23" s="471"/>
      <c r="S23" s="622"/>
    </row>
    <row r="24" spans="1:19" ht="14.25">
      <c r="A24" s="242" t="s">
        <v>168</v>
      </c>
      <c r="B24" s="280"/>
      <c r="C24" s="1051" t="s">
        <v>177</v>
      </c>
      <c r="D24" s="1052"/>
      <c r="E24" s="1052"/>
      <c r="F24" s="1052"/>
      <c r="G24" s="1052"/>
      <c r="H24" s="281">
        <v>57248</v>
      </c>
      <c r="I24" s="281">
        <v>51000</v>
      </c>
      <c r="J24" s="282">
        <f t="shared" si="1"/>
        <v>0.0026412865613618516</v>
      </c>
      <c r="K24" s="283">
        <f t="shared" si="2"/>
        <v>-0.10913918390162103</v>
      </c>
      <c r="L24" s="281">
        <v>48000</v>
      </c>
      <c r="M24" s="284">
        <f t="shared" si="3"/>
        <v>0.002423168886996125</v>
      </c>
      <c r="N24" s="283">
        <f t="shared" si="0"/>
        <v>-0.05882352941176472</v>
      </c>
      <c r="O24" s="894">
        <v>48000</v>
      </c>
      <c r="P24" s="284">
        <f t="shared" si="4"/>
        <v>0.002411179191202089</v>
      </c>
      <c r="Q24" s="285">
        <f t="shared" si="5"/>
        <v>0</v>
      </c>
      <c r="R24" s="622"/>
      <c r="S24" s="471"/>
    </row>
    <row r="25" spans="1:19" ht="14.25">
      <c r="A25" s="242"/>
      <c r="B25" s="280" t="s">
        <v>175</v>
      </c>
      <c r="C25" s="1051" t="s">
        <v>178</v>
      </c>
      <c r="D25" s="1052"/>
      <c r="E25" s="1052"/>
      <c r="F25" s="1052"/>
      <c r="G25" s="1052"/>
      <c r="H25" s="281">
        <f>3500-245</f>
        <v>3255</v>
      </c>
      <c r="I25" s="281">
        <v>3038</v>
      </c>
      <c r="J25" s="282">
        <f t="shared" si="1"/>
        <v>0.00015733781516504518</v>
      </c>
      <c r="K25" s="283">
        <f t="shared" si="2"/>
        <v>-0.06666666666666665</v>
      </c>
      <c r="L25" s="281">
        <v>2543</v>
      </c>
      <c r="M25" s="284">
        <f t="shared" si="3"/>
        <v>0.00012837746832564887</v>
      </c>
      <c r="N25" s="283">
        <f t="shared" si="0"/>
        <v>-0.16293614219881503</v>
      </c>
      <c r="O25" s="894">
        <v>2543</v>
      </c>
      <c r="P25" s="284">
        <f t="shared" si="4"/>
        <v>0.000127742264233894</v>
      </c>
      <c r="Q25" s="285">
        <f t="shared" si="5"/>
        <v>0</v>
      </c>
      <c r="R25" s="622"/>
      <c r="S25" s="471"/>
    </row>
    <row r="26" spans="1:19" ht="14.25">
      <c r="A26" s="242" t="s">
        <v>168</v>
      </c>
      <c r="B26" s="280"/>
      <c r="C26" s="1051" t="s">
        <v>179</v>
      </c>
      <c r="D26" s="1052"/>
      <c r="E26" s="1052"/>
      <c r="F26" s="1052"/>
      <c r="G26" s="1052"/>
      <c r="H26" s="281">
        <v>903679</v>
      </c>
      <c r="I26" s="281">
        <v>835310</v>
      </c>
      <c r="J26" s="282">
        <f t="shared" si="1"/>
        <v>0.043260648579826824</v>
      </c>
      <c r="K26" s="283">
        <f t="shared" si="2"/>
        <v>-0.07565628945676506</v>
      </c>
      <c r="L26" s="281">
        <v>835259</v>
      </c>
      <c r="M26" s="284">
        <f t="shared" si="3"/>
        <v>0.04216611711215617</v>
      </c>
      <c r="N26" s="283">
        <f t="shared" si="0"/>
        <v>-6.105517711985087E-05</v>
      </c>
      <c r="O26" s="894">
        <v>816497</v>
      </c>
      <c r="P26" s="284">
        <f t="shared" si="4"/>
        <v>0.041015012001644424</v>
      </c>
      <c r="Q26" s="285">
        <f t="shared" si="5"/>
        <v>-0.02246249366962827</v>
      </c>
      <c r="R26" s="471"/>
      <c r="S26" s="471"/>
    </row>
    <row r="27" spans="1:19" ht="15" thickBot="1">
      <c r="A27" s="250"/>
      <c r="B27" s="286" t="s">
        <v>175</v>
      </c>
      <c r="C27" s="1039" t="s">
        <v>180</v>
      </c>
      <c r="D27" s="1040"/>
      <c r="E27" s="1040"/>
      <c r="F27" s="1040"/>
      <c r="G27" s="1040"/>
      <c r="H27" s="287">
        <v>66622</v>
      </c>
      <c r="I27" s="287">
        <v>57282</v>
      </c>
      <c r="J27" s="288">
        <f t="shared" si="1"/>
        <v>0.0029666309178025406</v>
      </c>
      <c r="K27" s="256">
        <f t="shared" si="2"/>
        <v>-0.14019392993305513</v>
      </c>
      <c r="L27" s="287">
        <v>57333</v>
      </c>
      <c r="M27" s="289">
        <f t="shared" si="3"/>
        <v>0.0028943237874614336</v>
      </c>
      <c r="N27" s="256">
        <f t="shared" si="0"/>
        <v>0.0008903320414790361</v>
      </c>
      <c r="O27" s="895">
        <v>56474</v>
      </c>
      <c r="P27" s="289">
        <f t="shared" si="4"/>
        <v>0.0028368527842488915</v>
      </c>
      <c r="Q27" s="290">
        <f t="shared" si="5"/>
        <v>-0.014982645247937465</v>
      </c>
      <c r="R27" s="471"/>
      <c r="S27" s="622"/>
    </row>
    <row r="28" spans="1:19" s="267" customFormat="1" ht="15.75" thickBot="1">
      <c r="A28" s="258"/>
      <c r="B28" s="259"/>
      <c r="C28" s="1047" t="s">
        <v>181</v>
      </c>
      <c r="D28" s="1048"/>
      <c r="E28" s="1048"/>
      <c r="F28" s="1048"/>
      <c r="G28" s="1048"/>
      <c r="H28" s="260">
        <f>SUM(H22:H27)</f>
        <v>2283599</v>
      </c>
      <c r="I28" s="260">
        <f>SUM(I22:I27)</f>
        <v>2126080</v>
      </c>
      <c r="J28" s="261">
        <f t="shared" si="1"/>
        <v>0.11010953985059226</v>
      </c>
      <c r="K28" s="262">
        <f t="shared" si="2"/>
        <v>-0.06897839769591774</v>
      </c>
      <c r="L28" s="260">
        <f>SUM(L22:L27)</f>
        <v>2200372</v>
      </c>
      <c r="M28" s="263">
        <f t="shared" si="3"/>
        <v>0.11108068687952993</v>
      </c>
      <c r="N28" s="264">
        <f t="shared" si="0"/>
        <v>0.03494318181818179</v>
      </c>
      <c r="O28" s="891">
        <f>SUM(O22:O27)</f>
        <v>2171507</v>
      </c>
      <c r="P28" s="263">
        <f t="shared" si="4"/>
        <v>0.1090810935822849</v>
      </c>
      <c r="Q28" s="265">
        <f t="shared" si="5"/>
        <v>-0.013118236370940894</v>
      </c>
      <c r="R28" s="266"/>
      <c r="S28" s="471"/>
    </row>
    <row r="29" spans="1:17" ht="14.25">
      <c r="A29" s="226"/>
      <c r="B29" s="227"/>
      <c r="C29" s="228"/>
      <c r="D29" s="186"/>
      <c r="E29" s="186"/>
      <c r="F29" s="186"/>
      <c r="G29" s="186"/>
      <c r="H29" s="268"/>
      <c r="I29" s="268"/>
      <c r="J29" s="269"/>
      <c r="K29" s="269"/>
      <c r="L29" s="268"/>
      <c r="M29" s="269"/>
      <c r="N29" s="273"/>
      <c r="O29" s="892"/>
      <c r="P29" s="269"/>
      <c r="Q29" s="274"/>
    </row>
    <row r="30" spans="1:17" ht="15.75" thickBot="1">
      <c r="A30" s="226"/>
      <c r="B30" s="227"/>
      <c r="C30" s="233" t="s">
        <v>182</v>
      </c>
      <c r="D30" s="186"/>
      <c r="E30" s="186"/>
      <c r="F30" s="186"/>
      <c r="G30" s="186"/>
      <c r="H30" s="268"/>
      <c r="I30" s="268"/>
      <c r="J30" s="273"/>
      <c r="K30" s="273"/>
      <c r="L30" s="268"/>
      <c r="M30" s="273"/>
      <c r="N30" s="273"/>
      <c r="O30" s="892"/>
      <c r="P30" s="273"/>
      <c r="Q30" s="274"/>
    </row>
    <row r="31" spans="1:18" s="241" customFormat="1" ht="14.25">
      <c r="A31" s="234"/>
      <c r="B31" s="235" t="s">
        <v>175</v>
      </c>
      <c r="C31" s="1049" t="s">
        <v>183</v>
      </c>
      <c r="D31" s="1050"/>
      <c r="E31" s="1050"/>
      <c r="F31" s="1050"/>
      <c r="G31" s="1050"/>
      <c r="H31" s="275">
        <v>319638</v>
      </c>
      <c r="I31" s="275">
        <v>287548</v>
      </c>
      <c r="J31" s="276">
        <f>I31/$I$59</f>
        <v>0.014892091532283876</v>
      </c>
      <c r="K31" s="277">
        <f>I31/H31-1</f>
        <v>-0.10039482164198255</v>
      </c>
      <c r="L31" s="275">
        <v>201284</v>
      </c>
      <c r="M31" s="278">
        <f>L31/$L$58</f>
        <v>0.010161356796877666</v>
      </c>
      <c r="N31" s="277">
        <f t="shared" si="0"/>
        <v>-0.29999860892790076</v>
      </c>
      <c r="O31" s="896">
        <v>2000</v>
      </c>
      <c r="P31" s="278">
        <f>O31/$O$58</f>
        <v>0.00010046579963342039</v>
      </c>
      <c r="Q31" s="291">
        <f>O31/L31-1</f>
        <v>-0.9900637904652133</v>
      </c>
      <c r="R31" s="292"/>
    </row>
    <row r="32" spans="1:17" ht="14.25">
      <c r="A32" s="293" t="s">
        <v>168</v>
      </c>
      <c r="B32" s="294" t="s">
        <v>175</v>
      </c>
      <c r="C32" s="1051" t="s">
        <v>184</v>
      </c>
      <c r="D32" s="1052"/>
      <c r="E32" s="1052"/>
      <c r="F32" s="1052"/>
      <c r="G32" s="1052"/>
      <c r="H32" s="281">
        <v>1083213</v>
      </c>
      <c r="I32" s="281">
        <v>974734</v>
      </c>
      <c r="J32" s="282">
        <f>I32/$I$59</f>
        <v>0.05048140813926437</v>
      </c>
      <c r="K32" s="283">
        <f>I32/H32-1</f>
        <v>-0.10014558540194773</v>
      </c>
      <c r="L32" s="281">
        <f>SUM(L33:L34)</f>
        <v>999734</v>
      </c>
      <c r="M32" s="284">
        <f>L32/$L$58</f>
        <v>0.05046925675150383</v>
      </c>
      <c r="N32" s="283">
        <f t="shared" si="0"/>
        <v>0.02564802294779911</v>
      </c>
      <c r="O32" s="894">
        <f>SUM(O33:O34)</f>
        <v>1150000</v>
      </c>
      <c r="P32" s="284">
        <f>O32/$O$58</f>
        <v>0.057767834789216724</v>
      </c>
      <c r="Q32" s="295">
        <f>O32/L32-1</f>
        <v>0.15030598139105011</v>
      </c>
    </row>
    <row r="33" spans="1:17" s="241" customFormat="1" ht="14.25">
      <c r="A33" s="242"/>
      <c r="B33" s="280" t="s">
        <v>168</v>
      </c>
      <c r="C33" s="294" t="s">
        <v>185</v>
      </c>
      <c r="D33" s="296" t="s">
        <v>454</v>
      </c>
      <c r="E33" s="227"/>
      <c r="F33" s="227"/>
      <c r="G33" s="227"/>
      <c r="H33" s="297">
        <v>792299</v>
      </c>
      <c r="I33" s="297">
        <v>792299</v>
      </c>
      <c r="J33" s="282">
        <f>I33/$I$59</f>
        <v>0.04103311178981242</v>
      </c>
      <c r="K33" s="283">
        <f>I33/H33-1</f>
        <v>0</v>
      </c>
      <c r="L33" s="297">
        <f>I33</f>
        <v>792299</v>
      </c>
      <c r="M33" s="284">
        <f>L33/$L$58</f>
        <v>0.03999738095829464</v>
      </c>
      <c r="N33" s="283">
        <f t="shared" si="0"/>
        <v>0</v>
      </c>
      <c r="O33" s="897">
        <v>1035002</v>
      </c>
      <c r="P33" s="284">
        <f>O33/$O$58</f>
        <v>0.05199115177609469</v>
      </c>
      <c r="Q33" s="295">
        <f>O33/L33-1</f>
        <v>0.30632753543801017</v>
      </c>
    </row>
    <row r="34" spans="1:18" s="241" customFormat="1" ht="14.25">
      <c r="A34" s="242"/>
      <c r="B34" s="280" t="s">
        <v>175</v>
      </c>
      <c r="C34" s="298"/>
      <c r="D34" s="299" t="s">
        <v>186</v>
      </c>
      <c r="E34" s="300"/>
      <c r="F34" s="300"/>
      <c r="G34" s="300"/>
      <c r="H34" s="301">
        <v>290914</v>
      </c>
      <c r="I34" s="302">
        <v>182435</v>
      </c>
      <c r="J34" s="282">
        <f>I34/$I$59</f>
        <v>0.009448296349451948</v>
      </c>
      <c r="K34" s="283">
        <f>I34/H34-1</f>
        <v>-0.37289026997669417</v>
      </c>
      <c r="L34" s="301">
        <v>207435</v>
      </c>
      <c r="M34" s="284">
        <f>L34/$L$58</f>
        <v>0.01047187579320919</v>
      </c>
      <c r="N34" s="283">
        <f t="shared" si="0"/>
        <v>0.13703510839477073</v>
      </c>
      <c r="O34" s="898">
        <v>114998</v>
      </c>
      <c r="P34" s="284">
        <f>O34/$O$58</f>
        <v>0.005776683013122039</v>
      </c>
      <c r="Q34" s="295">
        <f>O34/L34-1</f>
        <v>-0.4456191096005978</v>
      </c>
      <c r="R34" s="471"/>
    </row>
    <row r="35" spans="1:18" s="267" customFormat="1" ht="15.75" thickBot="1">
      <c r="A35" s="258"/>
      <c r="B35" s="259"/>
      <c r="C35" s="1055" t="s">
        <v>187</v>
      </c>
      <c r="D35" s="1056"/>
      <c r="E35" s="1056"/>
      <c r="F35" s="1056"/>
      <c r="G35" s="1056"/>
      <c r="H35" s="260">
        <f>SUM(H31:H32)</f>
        <v>1402851</v>
      </c>
      <c r="I35" s="260">
        <f>SUM(I31:I32)</f>
        <v>1262282</v>
      </c>
      <c r="J35" s="261">
        <f>I35/$I$59</f>
        <v>0.06537349967154825</v>
      </c>
      <c r="K35" s="262">
        <f>I35/H35-1</f>
        <v>-0.1002023735949149</v>
      </c>
      <c r="L35" s="260">
        <f>SUM(L31:L32)</f>
        <v>1201018</v>
      </c>
      <c r="M35" s="263">
        <f>L35/$L$58</f>
        <v>0.06063061354838149</v>
      </c>
      <c r="N35" s="264">
        <f t="shared" si="0"/>
        <v>-0.04853432117387402</v>
      </c>
      <c r="O35" s="891">
        <f>SUM(O31:O32)</f>
        <v>1152000</v>
      </c>
      <c r="P35" s="263">
        <f>O35/$O$58</f>
        <v>0.05786830058885015</v>
      </c>
      <c r="Q35" s="265">
        <f>O35/L35-1</f>
        <v>-0.0408137097029353</v>
      </c>
      <c r="R35" s="266"/>
    </row>
    <row r="36" spans="1:17" ht="14.25">
      <c r="A36" s="226"/>
      <c r="B36" s="227"/>
      <c r="C36" s="228"/>
      <c r="D36" s="186"/>
      <c r="E36" s="186"/>
      <c r="F36" s="186"/>
      <c r="G36" s="186"/>
      <c r="H36" s="268"/>
      <c r="I36" s="268"/>
      <c r="J36" s="269"/>
      <c r="K36" s="269"/>
      <c r="L36" s="268"/>
      <c r="M36" s="269"/>
      <c r="N36" s="273"/>
      <c r="O36" s="892"/>
      <c r="P36" s="269"/>
      <c r="Q36" s="274"/>
    </row>
    <row r="37" spans="1:17" ht="15.75" thickBot="1">
      <c r="A37" s="303"/>
      <c r="B37" s="304"/>
      <c r="C37" s="233" t="s">
        <v>188</v>
      </c>
      <c r="D37" s="186"/>
      <c r="E37" s="186"/>
      <c r="F37" s="186"/>
      <c r="G37" s="186"/>
      <c r="H37" s="268"/>
      <c r="I37" s="268"/>
      <c r="J37" s="273"/>
      <c r="K37" s="273"/>
      <c r="L37" s="268"/>
      <c r="M37" s="273"/>
      <c r="N37" s="273"/>
      <c r="O37" s="892"/>
      <c r="P37" s="273"/>
      <c r="Q37" s="274"/>
    </row>
    <row r="38" spans="1:17" ht="15" thickBot="1">
      <c r="A38" s="305" t="s">
        <v>168</v>
      </c>
      <c r="B38" s="306" t="s">
        <v>175</v>
      </c>
      <c r="C38" s="307" t="s">
        <v>189</v>
      </c>
      <c r="D38" s="308"/>
      <c r="E38" s="308"/>
      <c r="F38" s="308"/>
      <c r="G38" s="308"/>
      <c r="H38" s="309">
        <f>SUM(H39:H46)</f>
        <v>310082</v>
      </c>
      <c r="I38" s="309">
        <f>SUM(I39:I46)</f>
        <v>292180</v>
      </c>
      <c r="J38" s="310">
        <f aca="true" t="shared" si="6" ref="J38:J47">I38/$I$59</f>
        <v>0.015131982499974623</v>
      </c>
      <c r="K38" s="311">
        <f aca="true" t="shared" si="7" ref="K38:K44">I38/H38-1</f>
        <v>-0.05773311575647733</v>
      </c>
      <c r="L38" s="309">
        <f>SUM(L39:L46)</f>
        <v>353797</v>
      </c>
      <c r="M38" s="312">
        <f aca="true" t="shared" si="8" ref="M38:M47">L38/$L$58</f>
        <v>0.017860622556511833</v>
      </c>
      <c r="N38" s="311">
        <f t="shared" si="0"/>
        <v>0.21088712437538493</v>
      </c>
      <c r="O38" s="899">
        <f>SUM(O39:O46)</f>
        <v>356223</v>
      </c>
      <c r="P38" s="312">
        <f aca="true" t="shared" si="9" ref="P38:P47">O38/$O$58</f>
        <v>0.017894114271407954</v>
      </c>
      <c r="Q38" s="313">
        <f aca="true" t="shared" si="10" ref="Q38:Q44">O38/L38-1</f>
        <v>0.006857039488746386</v>
      </c>
    </row>
    <row r="39" spans="1:17" s="241" customFormat="1" ht="14.25">
      <c r="A39" s="314"/>
      <c r="B39" s="315"/>
      <c r="C39" s="316" t="s">
        <v>190</v>
      </c>
      <c r="D39" s="317" t="s">
        <v>191</v>
      </c>
      <c r="E39" s="318"/>
      <c r="F39" s="318"/>
      <c r="G39" s="318"/>
      <c r="H39" s="319">
        <v>4500</v>
      </c>
      <c r="I39" s="319">
        <v>4500</v>
      </c>
      <c r="J39" s="276">
        <f t="shared" si="6"/>
        <v>0.00023305469659075162</v>
      </c>
      <c r="K39" s="277">
        <f t="shared" si="7"/>
        <v>0</v>
      </c>
      <c r="L39" s="319">
        <v>4500</v>
      </c>
      <c r="M39" s="278">
        <f t="shared" si="8"/>
        <v>0.0002271720831558867</v>
      </c>
      <c r="N39" s="320">
        <f t="shared" si="0"/>
        <v>0</v>
      </c>
      <c r="O39" s="900">
        <v>4500</v>
      </c>
      <c r="P39" s="278">
        <f t="shared" si="9"/>
        <v>0.00022604804917519589</v>
      </c>
      <c r="Q39" s="321">
        <f t="shared" si="10"/>
        <v>0</v>
      </c>
    </row>
    <row r="40" spans="1:17" s="241" customFormat="1" ht="14.25">
      <c r="A40" s="314"/>
      <c r="B40" s="322"/>
      <c r="C40" s="323"/>
      <c r="D40" s="299" t="s">
        <v>192</v>
      </c>
      <c r="E40" s="300"/>
      <c r="F40" s="300"/>
      <c r="G40" s="300"/>
      <c r="H40" s="281">
        <v>10000</v>
      </c>
      <c r="I40" s="324">
        <v>10000</v>
      </c>
      <c r="J40" s="282">
        <f t="shared" si="6"/>
        <v>0.0005178993257572258</v>
      </c>
      <c r="K40" s="283">
        <f t="shared" si="7"/>
        <v>0</v>
      </c>
      <c r="L40" s="281">
        <v>10000</v>
      </c>
      <c r="M40" s="284">
        <f t="shared" si="8"/>
        <v>0.000504826851457526</v>
      </c>
      <c r="N40" s="283">
        <f t="shared" si="0"/>
        <v>0</v>
      </c>
      <c r="O40" s="894">
        <v>10000</v>
      </c>
      <c r="P40" s="284">
        <f t="shared" si="9"/>
        <v>0.0005023289981671019</v>
      </c>
      <c r="Q40" s="295">
        <f t="shared" si="10"/>
        <v>0</v>
      </c>
    </row>
    <row r="41" spans="1:18" s="241" customFormat="1" ht="14.25">
      <c r="A41" s="314"/>
      <c r="B41" s="322"/>
      <c r="C41" s="323"/>
      <c r="D41" s="322" t="s">
        <v>193</v>
      </c>
      <c r="E41" s="325"/>
      <c r="F41" s="325"/>
      <c r="G41" s="325"/>
      <c r="H41" s="281">
        <v>272000</v>
      </c>
      <c r="I41" s="324">
        <v>253883</v>
      </c>
      <c r="J41" s="282">
        <f t="shared" si="6"/>
        <v>0.013148583452122175</v>
      </c>
      <c r="K41" s="283">
        <f t="shared" si="7"/>
        <v>-0.06660661764705877</v>
      </c>
      <c r="L41" s="281">
        <v>310000</v>
      </c>
      <c r="M41" s="284">
        <f t="shared" si="8"/>
        <v>0.015649632395183306</v>
      </c>
      <c r="N41" s="283">
        <f t="shared" si="0"/>
        <v>0.221034886148344</v>
      </c>
      <c r="O41" s="894">
        <v>310000</v>
      </c>
      <c r="P41" s="284">
        <f t="shared" si="9"/>
        <v>0.015572198943180161</v>
      </c>
      <c r="Q41" s="295">
        <f t="shared" si="10"/>
        <v>0</v>
      </c>
      <c r="R41" s="292"/>
    </row>
    <row r="42" spans="1:17" s="241" customFormat="1" ht="14.25">
      <c r="A42" s="326"/>
      <c r="B42" s="322"/>
      <c r="C42" s="323"/>
      <c r="D42" s="322" t="s">
        <v>194</v>
      </c>
      <c r="E42" s="325"/>
      <c r="F42" s="325"/>
      <c r="G42" s="325"/>
      <c r="H42" s="281">
        <v>9182</v>
      </c>
      <c r="I42" s="281">
        <v>9397</v>
      </c>
      <c r="J42" s="282">
        <f t="shared" si="6"/>
        <v>0.0004866699964140651</v>
      </c>
      <c r="K42" s="283">
        <f t="shared" si="7"/>
        <v>0.02341537791330861</v>
      </c>
      <c r="L42" s="281">
        <v>9397</v>
      </c>
      <c r="M42" s="284">
        <f t="shared" si="8"/>
        <v>0.00047438579231463715</v>
      </c>
      <c r="N42" s="283">
        <f t="shared" si="0"/>
        <v>0</v>
      </c>
      <c r="O42" s="894">
        <v>10823</v>
      </c>
      <c r="P42" s="284">
        <f t="shared" si="9"/>
        <v>0.0005436706747162544</v>
      </c>
      <c r="Q42" s="295">
        <f t="shared" si="10"/>
        <v>0.15175055868894338</v>
      </c>
    </row>
    <row r="43" spans="1:17" s="241" customFormat="1" ht="14.25">
      <c r="A43" s="314"/>
      <c r="B43" s="322"/>
      <c r="C43" s="323"/>
      <c r="D43" s="322" t="s">
        <v>195</v>
      </c>
      <c r="E43" s="325"/>
      <c r="F43" s="325"/>
      <c r="G43" s="325"/>
      <c r="H43" s="281">
        <v>13500</v>
      </c>
      <c r="I43" s="281">
        <v>13500</v>
      </c>
      <c r="J43" s="282">
        <f t="shared" si="6"/>
        <v>0.0006991640897722548</v>
      </c>
      <c r="K43" s="283">
        <f t="shared" si="7"/>
        <v>0</v>
      </c>
      <c r="L43" s="281">
        <v>13500</v>
      </c>
      <c r="M43" s="284">
        <f t="shared" si="8"/>
        <v>0.0006815162494676601</v>
      </c>
      <c r="N43" s="283">
        <f t="shared" si="0"/>
        <v>0</v>
      </c>
      <c r="O43" s="894">
        <v>14500</v>
      </c>
      <c r="P43" s="284">
        <f t="shared" si="9"/>
        <v>0.0007283770473422978</v>
      </c>
      <c r="Q43" s="295">
        <f t="shared" si="10"/>
        <v>0.07407407407407418</v>
      </c>
    </row>
    <row r="44" spans="1:17" s="241" customFormat="1" ht="14.25">
      <c r="A44" s="314"/>
      <c r="B44" s="322"/>
      <c r="C44" s="323"/>
      <c r="D44" s="322" t="s">
        <v>196</v>
      </c>
      <c r="E44" s="325"/>
      <c r="F44" s="325"/>
      <c r="G44" s="325"/>
      <c r="H44" s="281">
        <v>900</v>
      </c>
      <c r="I44" s="281">
        <v>900</v>
      </c>
      <c r="J44" s="282">
        <f t="shared" si="6"/>
        <v>4.661093931815032E-05</v>
      </c>
      <c r="K44" s="283">
        <f t="shared" si="7"/>
        <v>0</v>
      </c>
      <c r="L44" s="281">
        <v>6400</v>
      </c>
      <c r="M44" s="284">
        <f t="shared" si="8"/>
        <v>0.00032308918493281666</v>
      </c>
      <c r="N44" s="283">
        <f t="shared" si="0"/>
        <v>6.111111111111111</v>
      </c>
      <c r="O44" s="894">
        <v>6400</v>
      </c>
      <c r="P44" s="284">
        <f t="shared" si="9"/>
        <v>0.00032149055882694524</v>
      </c>
      <c r="Q44" s="295">
        <f t="shared" si="10"/>
        <v>0</v>
      </c>
    </row>
    <row r="45" spans="1:17" s="241" customFormat="1" ht="14.25">
      <c r="A45" s="327"/>
      <c r="B45" s="328"/>
      <c r="C45" s="323"/>
      <c r="D45" s="329" t="s">
        <v>197</v>
      </c>
      <c r="E45" s="330"/>
      <c r="F45" s="330"/>
      <c r="G45" s="330"/>
      <c r="H45" s="281">
        <v>0</v>
      </c>
      <c r="I45" s="281">
        <v>0</v>
      </c>
      <c r="J45" s="282">
        <f t="shared" si="6"/>
        <v>0</v>
      </c>
      <c r="K45" s="283"/>
      <c r="L45" s="281">
        <v>0</v>
      </c>
      <c r="M45" s="284">
        <f t="shared" si="8"/>
        <v>0</v>
      </c>
      <c r="N45" s="283"/>
      <c r="O45" s="894">
        <v>0</v>
      </c>
      <c r="P45" s="284">
        <f t="shared" si="9"/>
        <v>0</v>
      </c>
      <c r="Q45" s="295"/>
    </row>
    <row r="46" spans="1:17" s="241" customFormat="1" ht="15" thickBot="1">
      <c r="A46" s="327"/>
      <c r="B46" s="328"/>
      <c r="C46" s="331"/>
      <c r="D46" s="332" t="s">
        <v>198</v>
      </c>
      <c r="E46" s="330"/>
      <c r="F46" s="330"/>
      <c r="G46" s="330"/>
      <c r="H46" s="333">
        <v>0</v>
      </c>
      <c r="I46" s="333">
        <v>0</v>
      </c>
      <c r="J46" s="334">
        <f t="shared" si="6"/>
        <v>0</v>
      </c>
      <c r="K46" s="335"/>
      <c r="L46" s="333">
        <v>0</v>
      </c>
      <c r="M46" s="336">
        <f t="shared" si="8"/>
        <v>0</v>
      </c>
      <c r="N46" s="335"/>
      <c r="O46" s="901">
        <v>0</v>
      </c>
      <c r="P46" s="336">
        <f t="shared" si="9"/>
        <v>0</v>
      </c>
      <c r="Q46" s="337"/>
    </row>
    <row r="47" spans="1:17" ht="15" thickBot="1">
      <c r="A47" s="338"/>
      <c r="B47" s="339"/>
      <c r="C47" s="307" t="s">
        <v>199</v>
      </c>
      <c r="D47" s="308"/>
      <c r="E47" s="308"/>
      <c r="F47" s="308"/>
      <c r="G47" s="308"/>
      <c r="H47" s="340">
        <f>SUM(H48:H56)</f>
        <v>91500</v>
      </c>
      <c r="I47" s="340">
        <f>SUM(I48:I56)</f>
        <v>150000</v>
      </c>
      <c r="J47" s="310">
        <f t="shared" si="6"/>
        <v>0.007768489886358387</v>
      </c>
      <c r="K47" s="311">
        <f>I47/H47-1</f>
        <v>0.639344262295082</v>
      </c>
      <c r="L47" s="340">
        <f>SUM(L48:L56)</f>
        <v>150001</v>
      </c>
      <c r="M47" s="312">
        <f t="shared" si="8"/>
        <v>0.007572453254548035</v>
      </c>
      <c r="N47" s="311">
        <f t="shared" si="0"/>
        <v>6.666666666710341E-06</v>
      </c>
      <c r="O47" s="902">
        <f>SUM(O48:O56)</f>
        <v>234536</v>
      </c>
      <c r="P47" s="312">
        <f t="shared" si="9"/>
        <v>0.011781423391411942</v>
      </c>
      <c r="Q47" s="313">
        <f>O47/L47-1</f>
        <v>0.5635629095806027</v>
      </c>
    </row>
    <row r="48" spans="1:17" s="241" customFormat="1" ht="14.25">
      <c r="A48" s="234" t="s">
        <v>168</v>
      </c>
      <c r="B48" s="317" t="s">
        <v>175</v>
      </c>
      <c r="C48" s="316" t="s">
        <v>190</v>
      </c>
      <c r="D48" s="341" t="s">
        <v>200</v>
      </c>
      <c r="E48" s="342"/>
      <c r="F48" s="342"/>
      <c r="G48" s="342"/>
      <c r="H48" s="343"/>
      <c r="I48" s="343"/>
      <c r="J48" s="344"/>
      <c r="K48" s="345"/>
      <c r="L48" s="343"/>
      <c r="M48" s="346"/>
      <c r="N48" s="345"/>
      <c r="O48" s="903"/>
      <c r="P48" s="346"/>
      <c r="Q48" s="291"/>
    </row>
    <row r="49" spans="1:17" s="241" customFormat="1" ht="14.25">
      <c r="A49" s="242"/>
      <c r="B49" s="296"/>
      <c r="C49" s="323"/>
      <c r="D49" s="294" t="s">
        <v>185</v>
      </c>
      <c r="E49" s="322" t="s">
        <v>201</v>
      </c>
      <c r="F49" s="347"/>
      <c r="G49" s="347"/>
      <c r="H49" s="348">
        <v>0</v>
      </c>
      <c r="I49" s="348">
        <v>40000</v>
      </c>
      <c r="J49" s="349">
        <f aca="true" t="shared" si="11" ref="J49:J54">I49/$I$59</f>
        <v>0.0020715973030289033</v>
      </c>
      <c r="K49" s="350"/>
      <c r="L49" s="348">
        <v>44593</v>
      </c>
      <c r="M49" s="351">
        <f aca="true" t="shared" si="12" ref="M49:M55">L49/$L$58</f>
        <v>0.0022511743787045455</v>
      </c>
      <c r="N49" s="350">
        <f>L49/I49-1</f>
        <v>0.11482499999999995</v>
      </c>
      <c r="O49" s="894">
        <v>46600</v>
      </c>
      <c r="P49" s="351">
        <f aca="true" t="shared" si="13" ref="P49:P59">O49/$O$58</f>
        <v>0.002340853131458695</v>
      </c>
      <c r="Q49" s="295">
        <f>O49/L49-1</f>
        <v>0.04500706388895126</v>
      </c>
    </row>
    <row r="50" spans="1:17" s="241" customFormat="1" ht="14.25">
      <c r="A50" s="352"/>
      <c r="B50" s="296"/>
      <c r="C50" s="323"/>
      <c r="D50" s="323"/>
      <c r="E50" s="322" t="s">
        <v>202</v>
      </c>
      <c r="F50" s="347"/>
      <c r="G50" s="347"/>
      <c r="H50" s="348">
        <v>3500</v>
      </c>
      <c r="I50" s="348">
        <v>19000</v>
      </c>
      <c r="J50" s="349">
        <f t="shared" si="11"/>
        <v>0.000984008718938729</v>
      </c>
      <c r="K50" s="350">
        <f>I50/H50-1</f>
        <v>4.428571428571429</v>
      </c>
      <c r="L50" s="348">
        <v>22000</v>
      </c>
      <c r="M50" s="351">
        <f t="shared" si="12"/>
        <v>0.001110619073206557</v>
      </c>
      <c r="N50" s="350">
        <f>L50/I50-1</f>
        <v>0.1578947368421053</v>
      </c>
      <c r="O50" s="894">
        <v>22000</v>
      </c>
      <c r="P50" s="351">
        <f t="shared" si="13"/>
        <v>0.0011051237959676242</v>
      </c>
      <c r="Q50" s="295">
        <f>O50/L50-1</f>
        <v>0</v>
      </c>
    </row>
    <row r="51" spans="1:17" s="241" customFormat="1" ht="14.25">
      <c r="A51" s="352"/>
      <c r="B51" s="296"/>
      <c r="C51" s="323"/>
      <c r="D51" s="323"/>
      <c r="E51" s="347" t="s">
        <v>203</v>
      </c>
      <c r="F51" s="347"/>
      <c r="G51" s="353"/>
      <c r="H51" s="354">
        <v>0</v>
      </c>
      <c r="I51" s="354">
        <v>0</v>
      </c>
      <c r="J51" s="355">
        <f t="shared" si="11"/>
        <v>0</v>
      </c>
      <c r="K51" s="356"/>
      <c r="L51" s="354">
        <v>15000</v>
      </c>
      <c r="M51" s="357">
        <f t="shared" si="12"/>
        <v>0.000757240277186289</v>
      </c>
      <c r="N51" s="350">
        <v>1</v>
      </c>
      <c r="O51" s="900">
        <v>15000</v>
      </c>
      <c r="P51" s="357">
        <f t="shared" si="13"/>
        <v>0.0007534934972506529</v>
      </c>
      <c r="Q51" s="295">
        <f>O51/L51-1</f>
        <v>0</v>
      </c>
    </row>
    <row r="52" spans="1:17" s="241" customFormat="1" ht="14.25">
      <c r="A52" s="352"/>
      <c r="B52" s="296"/>
      <c r="C52" s="323"/>
      <c r="D52" s="323"/>
      <c r="E52" s="347" t="s">
        <v>204</v>
      </c>
      <c r="F52" s="347"/>
      <c r="G52" s="347"/>
      <c r="H52" s="354">
        <v>0</v>
      </c>
      <c r="I52" s="354">
        <v>0</v>
      </c>
      <c r="J52" s="355">
        <f t="shared" si="11"/>
        <v>0</v>
      </c>
      <c r="K52" s="356">
        <v>0</v>
      </c>
      <c r="L52" s="354">
        <v>0</v>
      </c>
      <c r="M52" s="357">
        <f t="shared" si="12"/>
        <v>0</v>
      </c>
      <c r="N52" s="350">
        <v>0</v>
      </c>
      <c r="O52" s="900">
        <v>50000</v>
      </c>
      <c r="P52" s="357">
        <f t="shared" si="13"/>
        <v>0.00251164499083551</v>
      </c>
      <c r="Q52" s="295">
        <v>1</v>
      </c>
    </row>
    <row r="53" spans="1:17" s="241" customFormat="1" ht="14.25">
      <c r="A53" s="352"/>
      <c r="B53" s="296"/>
      <c r="C53" s="323"/>
      <c r="D53" s="323"/>
      <c r="E53" s="322" t="s">
        <v>205</v>
      </c>
      <c r="F53" s="347"/>
      <c r="G53" s="347"/>
      <c r="H53" s="348">
        <v>10000</v>
      </c>
      <c r="I53" s="348">
        <v>10000</v>
      </c>
      <c r="J53" s="349">
        <f t="shared" si="11"/>
        <v>0.0005178993257572258</v>
      </c>
      <c r="K53" s="350">
        <f>I53/H53-1</f>
        <v>0</v>
      </c>
      <c r="L53" s="348">
        <v>10000</v>
      </c>
      <c r="M53" s="351">
        <f t="shared" si="12"/>
        <v>0.000504826851457526</v>
      </c>
      <c r="N53" s="350">
        <f>L53/I53-1</f>
        <v>0</v>
      </c>
      <c r="O53" s="894">
        <v>10000</v>
      </c>
      <c r="P53" s="351">
        <f t="shared" si="13"/>
        <v>0.0005023289981671019</v>
      </c>
      <c r="Q53" s="295">
        <f>O53/L53-1</f>
        <v>0</v>
      </c>
    </row>
    <row r="54" spans="1:17" s="241" customFormat="1" ht="14.25">
      <c r="A54" s="352"/>
      <c r="B54" s="296"/>
      <c r="C54" s="323"/>
      <c r="D54" s="323"/>
      <c r="E54" s="322" t="s">
        <v>206</v>
      </c>
      <c r="F54" s="325"/>
      <c r="G54" s="325"/>
      <c r="H54" s="348">
        <v>26000</v>
      </c>
      <c r="I54" s="348">
        <v>26000</v>
      </c>
      <c r="J54" s="349">
        <f t="shared" si="11"/>
        <v>0.001346538246968787</v>
      </c>
      <c r="K54" s="350">
        <f>I54/H54-1</f>
        <v>0</v>
      </c>
      <c r="L54" s="348">
        <v>26000</v>
      </c>
      <c r="M54" s="351">
        <f t="shared" si="12"/>
        <v>0.0013125498137895675</v>
      </c>
      <c r="N54" s="350">
        <f>L54/I54-1</f>
        <v>0</v>
      </c>
      <c r="O54" s="894">
        <v>26000</v>
      </c>
      <c r="P54" s="351">
        <f t="shared" si="13"/>
        <v>0.0013060553952344651</v>
      </c>
      <c r="Q54" s="295">
        <f>O54/L54-1</f>
        <v>0</v>
      </c>
    </row>
    <row r="55" spans="1:19" s="241" customFormat="1" ht="14.25">
      <c r="A55" s="352"/>
      <c r="B55" s="296"/>
      <c r="C55" s="323"/>
      <c r="D55" s="298"/>
      <c r="E55" s="325" t="s">
        <v>207</v>
      </c>
      <c r="F55" s="325"/>
      <c r="G55" s="325"/>
      <c r="H55" s="354">
        <f>25000+2000+15000</f>
        <v>42000</v>
      </c>
      <c r="I55" s="354">
        <v>15000</v>
      </c>
      <c r="J55" s="355"/>
      <c r="K55" s="356"/>
      <c r="L55" s="354">
        <f>20000+2408</f>
        <v>22408</v>
      </c>
      <c r="M55" s="357">
        <f t="shared" si="12"/>
        <v>0.0011312160087460243</v>
      </c>
      <c r="N55" s="356"/>
      <c r="O55" s="900">
        <v>54936</v>
      </c>
      <c r="P55" s="351">
        <f t="shared" si="13"/>
        <v>0.0027595945843307914</v>
      </c>
      <c r="Q55" s="295">
        <f>O55/L55-1</f>
        <v>1.4516244198500536</v>
      </c>
      <c r="S55" s="292"/>
    </row>
    <row r="56" spans="1:17" s="241" customFormat="1" ht="14.25">
      <c r="A56" s="352" t="s">
        <v>168</v>
      </c>
      <c r="B56" s="296" t="s">
        <v>175</v>
      </c>
      <c r="C56" s="298"/>
      <c r="D56" s="358" t="s">
        <v>208</v>
      </c>
      <c r="E56" s="347"/>
      <c r="F56" s="347"/>
      <c r="G56" s="347"/>
      <c r="H56" s="354">
        <v>10000</v>
      </c>
      <c r="I56" s="354">
        <v>40000</v>
      </c>
      <c r="J56" s="355"/>
      <c r="K56" s="356"/>
      <c r="L56" s="354">
        <v>10000</v>
      </c>
      <c r="M56" s="357"/>
      <c r="N56" s="356"/>
      <c r="O56" s="900">
        <v>10000</v>
      </c>
      <c r="P56" s="351">
        <f t="shared" si="13"/>
        <v>0.0005023289981671019</v>
      </c>
      <c r="Q56" s="295">
        <f>O56/L56-1</f>
        <v>0</v>
      </c>
    </row>
    <row r="57" spans="1:18" s="267" customFormat="1" ht="15.75" thickBot="1">
      <c r="A57" s="258"/>
      <c r="B57" s="359"/>
      <c r="C57" s="360" t="s">
        <v>209</v>
      </c>
      <c r="D57" s="361"/>
      <c r="E57" s="361"/>
      <c r="F57" s="361"/>
      <c r="G57" s="361"/>
      <c r="H57" s="260">
        <f>H38+H47</f>
        <v>401582</v>
      </c>
      <c r="I57" s="260">
        <f>I38+I47</f>
        <v>442180</v>
      </c>
      <c r="J57" s="261">
        <f>I57/$I$59</f>
        <v>0.02290047238633301</v>
      </c>
      <c r="K57" s="262">
        <f>I57/H57-1</f>
        <v>0.1010951686081547</v>
      </c>
      <c r="L57" s="260">
        <f>L38+L47</f>
        <v>503798</v>
      </c>
      <c r="M57" s="263">
        <f>L57/$L$58</f>
        <v>0.025433075811059868</v>
      </c>
      <c r="N57" s="264">
        <f t="shared" si="0"/>
        <v>0.1393504907503731</v>
      </c>
      <c r="O57" s="891">
        <f>O38+O47</f>
        <v>590759</v>
      </c>
      <c r="P57" s="263">
        <f t="shared" si="13"/>
        <v>0.029675537662819898</v>
      </c>
      <c r="Q57" s="265">
        <f>O57/L57-1</f>
        <v>0.1726108479986026</v>
      </c>
      <c r="R57" s="266"/>
    </row>
    <row r="58" spans="1:17" s="370" customFormat="1" ht="6.75" customHeight="1" thickBot="1">
      <c r="A58" s="362"/>
      <c r="B58" s="363"/>
      <c r="C58" s="364"/>
      <c r="D58" s="364"/>
      <c r="E58" s="364"/>
      <c r="F58" s="364"/>
      <c r="G58" s="364"/>
      <c r="H58" s="365"/>
      <c r="I58" s="366">
        <f>I61-I60</f>
        <v>19308772</v>
      </c>
      <c r="J58" s="367"/>
      <c r="K58" s="367"/>
      <c r="L58" s="366">
        <f>L61</f>
        <v>19808772</v>
      </c>
      <c r="M58" s="367">
        <f>L58/$L$58</f>
        <v>1</v>
      </c>
      <c r="N58" s="368"/>
      <c r="O58" s="904">
        <v>19907272</v>
      </c>
      <c r="P58" s="367">
        <f t="shared" si="13"/>
        <v>1</v>
      </c>
      <c r="Q58" s="369"/>
    </row>
    <row r="59" spans="1:17" s="266" customFormat="1" ht="15.75">
      <c r="A59" s="371"/>
      <c r="B59" s="372"/>
      <c r="C59" s="373" t="s">
        <v>210</v>
      </c>
      <c r="D59" s="374"/>
      <c r="E59" s="374"/>
      <c r="F59" s="374"/>
      <c r="G59" s="375"/>
      <c r="H59" s="376">
        <f>H19+H28+H35+H57</f>
        <v>20686641</v>
      </c>
      <c r="I59" s="376">
        <f>I19+I28+I35+I57</f>
        <v>19308772</v>
      </c>
      <c r="J59" s="377">
        <f>I59/$I$59</f>
        <v>1</v>
      </c>
      <c r="K59" s="378">
        <f>I59/H59-1</f>
        <v>-0.06660670526452317</v>
      </c>
      <c r="L59" s="376">
        <f>L19+L28+L35+L57</f>
        <v>19808772</v>
      </c>
      <c r="M59" s="379">
        <f>L59/$L$58</f>
        <v>1</v>
      </c>
      <c r="N59" s="380">
        <f t="shared" si="0"/>
        <v>0.025894966287861365</v>
      </c>
      <c r="O59" s="905">
        <f>O19+O28+O35+O57</f>
        <v>19907272</v>
      </c>
      <c r="P59" s="379">
        <f t="shared" si="13"/>
        <v>1</v>
      </c>
      <c r="Q59" s="381">
        <f>O59/L59-1</f>
        <v>0.004972544486856689</v>
      </c>
    </row>
    <row r="60" spans="1:17" s="266" customFormat="1" ht="15.75">
      <c r="A60" s="382"/>
      <c r="B60" s="383"/>
      <c r="C60" s="384" t="s">
        <v>211</v>
      </c>
      <c r="D60" s="385"/>
      <c r="E60" s="385"/>
      <c r="F60" s="385"/>
      <c r="G60" s="385"/>
      <c r="H60" s="281">
        <v>-525733</v>
      </c>
      <c r="I60" s="281">
        <v>-450000</v>
      </c>
      <c r="J60" s="282"/>
      <c r="K60" s="283"/>
      <c r="L60" s="281"/>
      <c r="M60" s="386"/>
      <c r="N60" s="387"/>
      <c r="O60" s="906"/>
      <c r="P60" s="386"/>
      <c r="Q60" s="388"/>
    </row>
    <row r="61" spans="1:17" s="267" customFormat="1" ht="15.75">
      <c r="A61" s="389"/>
      <c r="B61" s="390"/>
      <c r="C61" s="1057" t="s">
        <v>212</v>
      </c>
      <c r="D61" s="1058"/>
      <c r="E61" s="1058"/>
      <c r="F61" s="1058"/>
      <c r="G61" s="1058"/>
      <c r="H61" s="391">
        <v>20160908</v>
      </c>
      <c r="I61" s="391">
        <v>18858772</v>
      </c>
      <c r="J61" s="392">
        <f>I61/$I$59</f>
        <v>0.9766945303409248</v>
      </c>
      <c r="K61" s="387">
        <f>I61/H61-1</f>
        <v>-0.06458717037942929</v>
      </c>
      <c r="L61" s="391">
        <v>19808772</v>
      </c>
      <c r="M61" s="386">
        <f>L61/$L$58</f>
        <v>1</v>
      </c>
      <c r="N61" s="393">
        <f t="shared" si="0"/>
        <v>0.05037443583283152</v>
      </c>
      <c r="O61" s="907">
        <f>19808772+98500</f>
        <v>19907272</v>
      </c>
      <c r="P61" s="386">
        <f>O61/$O$58</f>
        <v>1</v>
      </c>
      <c r="Q61" s="394">
        <f>O61/L61-1</f>
        <v>0.004972544486856689</v>
      </c>
    </row>
    <row r="62" spans="1:17" s="267" customFormat="1" ht="16.5" thickBot="1">
      <c r="A62" s="395"/>
      <c r="B62" s="396"/>
      <c r="C62" s="1053" t="s">
        <v>213</v>
      </c>
      <c r="D62" s="1054"/>
      <c r="E62" s="1054"/>
      <c r="F62" s="1054"/>
      <c r="G62" s="1054"/>
      <c r="H62" s="397">
        <f>H61-H59-H60</f>
        <v>0</v>
      </c>
      <c r="I62" s="397">
        <f>I59+I60-I61</f>
        <v>0</v>
      </c>
      <c r="J62" s="398"/>
      <c r="K62" s="399"/>
      <c r="L62" s="397">
        <f>L59+L60-L61</f>
        <v>0</v>
      </c>
      <c r="M62" s="400"/>
      <c r="N62" s="401"/>
      <c r="O62" s="908">
        <f>O59+O60-O61</f>
        <v>0</v>
      </c>
      <c r="P62" s="400"/>
      <c r="Q62" s="402"/>
    </row>
    <row r="63" spans="1:15" ht="15">
      <c r="A63" s="403"/>
      <c r="B63" s="403"/>
      <c r="C63" s="403"/>
      <c r="D63" s="403"/>
      <c r="E63" s="403"/>
      <c r="F63" s="403"/>
      <c r="G63" s="403"/>
      <c r="H63" s="404"/>
      <c r="I63" s="405"/>
      <c r="J63" s="406"/>
      <c r="K63" s="407"/>
      <c r="L63" s="407"/>
      <c r="M63" s="406"/>
      <c r="N63" s="407"/>
      <c r="O63" s="407"/>
    </row>
    <row r="64" spans="1:15" ht="15">
      <c r="A64" s="408" t="s">
        <v>214</v>
      </c>
      <c r="B64" s="403"/>
      <c r="C64" s="403"/>
      <c r="D64" s="403"/>
      <c r="E64" s="403"/>
      <c r="F64" s="403"/>
      <c r="G64" s="405"/>
      <c r="H64" s="405"/>
      <c r="I64" s="405"/>
      <c r="J64" s="409"/>
      <c r="K64" s="405"/>
      <c r="L64" s="404"/>
      <c r="M64" s="409"/>
      <c r="N64" s="404"/>
      <c r="O64" s="471"/>
    </row>
    <row r="65" spans="10:14" s="410" customFormat="1" ht="23.25">
      <c r="J65" s="411"/>
      <c r="K65" s="411"/>
      <c r="L65" s="411"/>
      <c r="M65" s="411"/>
      <c r="N65" s="411"/>
    </row>
    <row r="66" spans="10:14" s="410" customFormat="1" ht="12.75">
      <c r="J66" s="412"/>
      <c r="L66" s="413"/>
      <c r="M66" s="412"/>
      <c r="N66" s="413"/>
    </row>
    <row r="67" spans="8:13" ht="14.25">
      <c r="H67" s="185" t="s">
        <v>215</v>
      </c>
      <c r="J67" s="414"/>
      <c r="L67" s="415"/>
      <c r="M67" s="414"/>
    </row>
    <row r="68" spans="10:13" ht="14.25">
      <c r="J68" s="414"/>
      <c r="L68" s="415"/>
      <c r="M68" s="414"/>
    </row>
    <row r="69" spans="10:13" ht="14.25">
      <c r="J69" s="414"/>
      <c r="L69" s="415"/>
      <c r="M69" s="414"/>
    </row>
    <row r="70" spans="10:13" ht="14.25">
      <c r="J70" s="414"/>
      <c r="L70" s="415"/>
      <c r="M70" s="414"/>
    </row>
    <row r="71" ht="23.25">
      <c r="I71" s="416"/>
    </row>
    <row r="72" ht="23.25">
      <c r="I72" s="416"/>
    </row>
    <row r="73" ht="23.25">
      <c r="I73" s="416"/>
    </row>
    <row r="74" ht="23.25">
      <c r="I74" s="416"/>
    </row>
    <row r="75" ht="23.25">
      <c r="I75" s="416"/>
    </row>
    <row r="76" ht="23.25">
      <c r="I76" s="416"/>
    </row>
    <row r="77" ht="23.25">
      <c r="I77" s="416"/>
    </row>
    <row r="78" ht="23.25">
      <c r="I78" s="416"/>
    </row>
    <row r="79" ht="23.25">
      <c r="I79" s="416"/>
    </row>
    <row r="80" ht="23.25">
      <c r="I80" s="416"/>
    </row>
    <row r="81" ht="23.25">
      <c r="I81" s="416"/>
    </row>
    <row r="82" ht="23.25">
      <c r="I82" s="416"/>
    </row>
    <row r="83" ht="23.25">
      <c r="I83" s="416"/>
    </row>
    <row r="84" ht="23.25">
      <c r="I84" s="416"/>
    </row>
    <row r="85" ht="23.25">
      <c r="I85" s="416"/>
    </row>
    <row r="86" ht="23.25">
      <c r="I86" s="416"/>
    </row>
    <row r="87" ht="23.25">
      <c r="I87" s="416"/>
    </row>
    <row r="88" ht="23.25">
      <c r="I88" s="416"/>
    </row>
    <row r="89" ht="23.25">
      <c r="I89" s="416"/>
    </row>
    <row r="90" ht="23.25">
      <c r="I90" s="416"/>
    </row>
    <row r="91" ht="23.25">
      <c r="I91" s="416"/>
    </row>
    <row r="92" ht="23.25">
      <c r="I92" s="416"/>
    </row>
    <row r="93" ht="23.25">
      <c r="I93" s="416"/>
    </row>
    <row r="94" ht="23.25">
      <c r="I94" s="416"/>
    </row>
    <row r="95" ht="23.25">
      <c r="I95" s="416"/>
    </row>
    <row r="96" ht="23.25">
      <c r="I96" s="416"/>
    </row>
  </sheetData>
  <sheetProtection/>
  <mergeCells count="42">
    <mergeCell ref="C62:G62"/>
    <mergeCell ref="C27:G27"/>
    <mergeCell ref="C28:G28"/>
    <mergeCell ref="C31:G31"/>
    <mergeCell ref="C32:G32"/>
    <mergeCell ref="C35:G35"/>
    <mergeCell ref="C61:G61"/>
    <mergeCell ref="C19:G19"/>
    <mergeCell ref="C22:G22"/>
    <mergeCell ref="C23:G23"/>
    <mergeCell ref="C24:G24"/>
    <mergeCell ref="C25:G25"/>
    <mergeCell ref="C26:G26"/>
    <mergeCell ref="P10:P12"/>
    <mergeCell ref="Q10:Q12"/>
    <mergeCell ref="C13:G13"/>
    <mergeCell ref="C16:G16"/>
    <mergeCell ref="C17:G17"/>
    <mergeCell ref="C18:G18"/>
    <mergeCell ref="J10:J12"/>
    <mergeCell ref="K10:K12"/>
    <mergeCell ref="L10:L12"/>
    <mergeCell ref="M10:M12"/>
    <mergeCell ref="J7:K7"/>
    <mergeCell ref="A8:H8"/>
    <mergeCell ref="J8:K8"/>
    <mergeCell ref="A9:I9"/>
    <mergeCell ref="A10:A12"/>
    <mergeCell ref="B10:B12"/>
    <mergeCell ref="C10:G12"/>
    <mergeCell ref="H10:H12"/>
    <mergeCell ref="I10:I12"/>
    <mergeCell ref="N10:N12"/>
    <mergeCell ref="O10:O12"/>
    <mergeCell ref="A1:Q1"/>
    <mergeCell ref="A4:D4"/>
    <mergeCell ref="J4:K4"/>
    <mergeCell ref="A5:D5"/>
    <mergeCell ref="J5:K5"/>
    <mergeCell ref="A6:D6"/>
    <mergeCell ref="J6:K6"/>
    <mergeCell ref="A7:D7"/>
  </mergeCells>
  <printOptions horizontalCentered="1"/>
  <pageMargins left="0" right="0" top="0.4724409448818898" bottom="0.31496062992125984" header="0.15748031496062992" footer="0.15748031496062992"/>
  <pageSetup fitToHeight="1" fitToWidth="1" horizontalDpi="600" verticalDpi="600" orientation="landscape" paperSize="8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62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10.00390625" style="436" bestFit="1" customWidth="1"/>
    <col min="2" max="2" width="52.140625" style="436" customWidth="1"/>
    <col min="3" max="3" width="11.7109375" style="436" customWidth="1"/>
    <col min="4" max="4" width="12.7109375" style="436" customWidth="1"/>
    <col min="5" max="5" width="8.8515625" style="436" customWidth="1"/>
    <col min="6" max="6" width="9.140625" style="436" customWidth="1"/>
    <col min="7" max="7" width="55.00390625" style="436" customWidth="1"/>
    <col min="8" max="8" width="9.140625" style="506" customWidth="1"/>
    <col min="9" max="9" width="12.421875" style="506" customWidth="1"/>
    <col min="10" max="16384" width="9.140625" style="436" customWidth="1"/>
  </cols>
  <sheetData>
    <row r="1" ht="14.25">
      <c r="A1" s="975"/>
    </row>
    <row r="3" spans="1:5" ht="23.25">
      <c r="A3" s="505" t="s">
        <v>397</v>
      </c>
      <c r="B3" s="437"/>
      <c r="C3" s="437"/>
      <c r="D3" s="437"/>
      <c r="E3" s="437"/>
    </row>
    <row r="4" spans="1:5" ht="14.25" customHeight="1">
      <c r="A4" s="505"/>
      <c r="B4" s="437"/>
      <c r="C4" s="437"/>
      <c r="D4" s="437"/>
      <c r="E4" s="437"/>
    </row>
    <row r="5" spans="1:5" ht="23.25">
      <c r="A5" s="505" t="s">
        <v>398</v>
      </c>
      <c r="B5" s="437"/>
      <c r="C5" s="437"/>
      <c r="D5" s="437"/>
      <c r="E5" s="437"/>
    </row>
    <row r="6" s="561" customFormat="1" ht="12.75"/>
    <row r="7" spans="1:4" s="437" customFormat="1" ht="12.75">
      <c r="A7" s="437" t="s">
        <v>320</v>
      </c>
      <c r="C7" s="476"/>
      <c r="D7" s="476"/>
    </row>
    <row r="8" s="561" customFormat="1" ht="12.75"/>
    <row r="9" spans="1:6" s="507" customFormat="1" ht="19.5">
      <c r="A9" s="507" t="s">
        <v>394</v>
      </c>
      <c r="F9" s="507" t="s">
        <v>392</v>
      </c>
    </row>
    <row r="10" s="437" customFormat="1" ht="13.5" thickBot="1">
      <c r="A10" s="508"/>
    </row>
    <row r="11" spans="1:9" s="437" customFormat="1" ht="26.25" thickBot="1">
      <c r="A11" s="509" t="s">
        <v>321</v>
      </c>
      <c r="B11" s="510"/>
      <c r="C11" s="510"/>
      <c r="D11" s="511">
        <f>C50</f>
        <v>151203</v>
      </c>
      <c r="F11" s="512" t="s">
        <v>276</v>
      </c>
      <c r="G11" s="513" t="s">
        <v>15</v>
      </c>
      <c r="H11" s="441" t="s">
        <v>322</v>
      </c>
      <c r="I11" s="514" t="s">
        <v>108</v>
      </c>
    </row>
    <row r="12" spans="1:9" s="437" customFormat="1" ht="12.75">
      <c r="A12" s="515" t="s">
        <v>323</v>
      </c>
      <c r="B12" s="516"/>
      <c r="C12" s="516"/>
      <c r="D12" s="517">
        <f>H50</f>
        <v>10458</v>
      </c>
      <c r="F12" s="518">
        <v>6100</v>
      </c>
      <c r="G12" s="519" t="s">
        <v>324</v>
      </c>
      <c r="H12" s="520">
        <v>613</v>
      </c>
      <c r="I12" s="521">
        <f aca="true" t="shared" si="0" ref="I12:I49">ROUND(H12*$D$15/$D$13,0)</f>
        <v>3310</v>
      </c>
    </row>
    <row r="13" spans="1:9" s="437" customFormat="1" ht="13.5" thickBot="1">
      <c r="A13" s="522" t="s">
        <v>325</v>
      </c>
      <c r="B13" s="523"/>
      <c r="C13" s="523"/>
      <c r="D13" s="524">
        <f>SUM(D11:D12)</f>
        <v>161661</v>
      </c>
      <c r="F13" s="525">
        <v>6200</v>
      </c>
      <c r="G13" s="463" t="s">
        <v>326</v>
      </c>
      <c r="H13" s="464">
        <v>42</v>
      </c>
      <c r="I13" s="521">
        <f t="shared" si="0"/>
        <v>227</v>
      </c>
    </row>
    <row r="14" spans="1:9" s="437" customFormat="1" ht="13.5" thickBot="1">
      <c r="A14" s="526" t="s">
        <v>327</v>
      </c>
      <c r="B14" s="527"/>
      <c r="C14" s="527"/>
      <c r="D14" s="528">
        <v>872971</v>
      </c>
      <c r="E14" s="529"/>
      <c r="F14" s="525">
        <v>6300</v>
      </c>
      <c r="G14" s="463" t="s">
        <v>328</v>
      </c>
      <c r="H14" s="464">
        <v>728</v>
      </c>
      <c r="I14" s="521">
        <f t="shared" si="0"/>
        <v>3931</v>
      </c>
    </row>
    <row r="15" spans="1:9" s="437" customFormat="1" ht="13.5" thickBot="1">
      <c r="A15" s="530" t="s">
        <v>329</v>
      </c>
      <c r="B15" s="531"/>
      <c r="C15" s="532"/>
      <c r="D15" s="533">
        <v>872972</v>
      </c>
      <c r="E15" s="508"/>
      <c r="F15" s="525">
        <v>6400</v>
      </c>
      <c r="G15" s="463" t="s">
        <v>330</v>
      </c>
      <c r="H15" s="464">
        <v>1146</v>
      </c>
      <c r="I15" s="521">
        <f t="shared" si="0"/>
        <v>6188</v>
      </c>
    </row>
    <row r="16" spans="1:9" s="437" customFormat="1" ht="12.75">
      <c r="A16" s="534" t="s">
        <v>331</v>
      </c>
      <c r="B16" s="535"/>
      <c r="C16" s="536"/>
      <c r="D16" s="537">
        <f>1000*D15/D13</f>
        <v>5400.016083037962</v>
      </c>
      <c r="F16" s="525">
        <v>6500</v>
      </c>
      <c r="G16" s="463" t="s">
        <v>332</v>
      </c>
      <c r="H16" s="464">
        <v>102</v>
      </c>
      <c r="I16" s="521">
        <f t="shared" si="0"/>
        <v>551</v>
      </c>
    </row>
    <row r="17" spans="1:9" s="437" customFormat="1" ht="12.75">
      <c r="A17" s="515" t="s">
        <v>333</v>
      </c>
      <c r="B17" s="516"/>
      <c r="C17" s="516"/>
      <c r="D17" s="465">
        <f>D50</f>
        <v>816497</v>
      </c>
      <c r="F17" s="525">
        <v>6700</v>
      </c>
      <c r="G17" s="463" t="s">
        <v>334</v>
      </c>
      <c r="H17" s="464">
        <v>73</v>
      </c>
      <c r="I17" s="521">
        <f t="shared" si="0"/>
        <v>394</v>
      </c>
    </row>
    <row r="18" spans="1:9" s="437" customFormat="1" ht="12.75">
      <c r="A18" s="515" t="s">
        <v>335</v>
      </c>
      <c r="B18" s="516"/>
      <c r="C18" s="516"/>
      <c r="D18" s="465">
        <f>I50</f>
        <v>56474</v>
      </c>
      <c r="E18" s="508"/>
      <c r="F18" s="525">
        <v>6800</v>
      </c>
      <c r="G18" s="463" t="s">
        <v>336</v>
      </c>
      <c r="H18" s="464">
        <v>163</v>
      </c>
      <c r="I18" s="521">
        <f t="shared" si="0"/>
        <v>880</v>
      </c>
    </row>
    <row r="19" spans="1:9" s="437" customFormat="1" ht="13.5" thickBot="1">
      <c r="A19" s="538" t="s">
        <v>33</v>
      </c>
      <c r="B19" s="539"/>
      <c r="C19" s="539"/>
      <c r="D19" s="540">
        <f>SUM(D17:D18)</f>
        <v>872971</v>
      </c>
      <c r="F19" s="525" t="s">
        <v>337</v>
      </c>
      <c r="G19" s="463" t="s">
        <v>338</v>
      </c>
      <c r="H19" s="464">
        <v>34</v>
      </c>
      <c r="I19" s="521">
        <f t="shared" si="0"/>
        <v>184</v>
      </c>
    </row>
    <row r="20" spans="1:9" s="437" customFormat="1" ht="12.75">
      <c r="A20" s="541"/>
      <c r="B20" s="541"/>
      <c r="C20" s="541"/>
      <c r="D20" s="542"/>
      <c r="F20" s="525" t="s">
        <v>339</v>
      </c>
      <c r="G20" s="463" t="s">
        <v>340</v>
      </c>
      <c r="H20" s="464">
        <v>363</v>
      </c>
      <c r="I20" s="521">
        <f t="shared" si="0"/>
        <v>1960</v>
      </c>
    </row>
    <row r="21" spans="1:9" s="437" customFormat="1" ht="19.5">
      <c r="A21" s="507" t="s">
        <v>391</v>
      </c>
      <c r="B21" s="541"/>
      <c r="C21" s="541"/>
      <c r="D21" s="543"/>
      <c r="F21" s="525" t="s">
        <v>342</v>
      </c>
      <c r="G21" s="463" t="s">
        <v>343</v>
      </c>
      <c r="H21" s="464">
        <v>466</v>
      </c>
      <c r="I21" s="521">
        <f t="shared" si="0"/>
        <v>2516</v>
      </c>
    </row>
    <row r="22" spans="6:9" s="437" customFormat="1" ht="13.5" thickBot="1">
      <c r="F22" s="525" t="s">
        <v>405</v>
      </c>
      <c r="G22" s="463" t="s">
        <v>344</v>
      </c>
      <c r="H22" s="464">
        <v>67</v>
      </c>
      <c r="I22" s="521">
        <f t="shared" si="0"/>
        <v>362</v>
      </c>
    </row>
    <row r="23" spans="1:9" s="437" customFormat="1" ht="26.25" thickBot="1">
      <c r="A23" s="544" t="s">
        <v>276</v>
      </c>
      <c r="B23" s="452" t="s">
        <v>15</v>
      </c>
      <c r="C23" s="452" t="s">
        <v>322</v>
      </c>
      <c r="D23" s="453" t="s">
        <v>108</v>
      </c>
      <c r="F23" s="525" t="s">
        <v>345</v>
      </c>
      <c r="G23" s="463" t="s">
        <v>346</v>
      </c>
      <c r="H23" s="464">
        <v>379</v>
      </c>
      <c r="I23" s="521">
        <f t="shared" si="0"/>
        <v>2047</v>
      </c>
    </row>
    <row r="24" spans="1:9" s="437" customFormat="1" ht="13.5" thickBot="1">
      <c r="A24" s="545">
        <v>11000</v>
      </c>
      <c r="B24" s="546" t="s">
        <v>243</v>
      </c>
      <c r="C24" s="547">
        <v>19228</v>
      </c>
      <c r="D24" s="511">
        <f aca="true" t="shared" si="1" ref="D24:D49">ROUND(C24*$D$15/$D$13,0)</f>
        <v>103832</v>
      </c>
      <c r="F24" s="525" t="s">
        <v>347</v>
      </c>
      <c r="G24" s="463" t="s">
        <v>348</v>
      </c>
      <c r="H24" s="464">
        <v>14</v>
      </c>
      <c r="I24" s="521">
        <f t="shared" si="0"/>
        <v>76</v>
      </c>
    </row>
    <row r="25" spans="1:9" s="437" customFormat="1" ht="12.75">
      <c r="A25" s="548">
        <v>12000</v>
      </c>
      <c r="B25" s="443" t="s">
        <v>244</v>
      </c>
      <c r="C25" s="549">
        <v>5206</v>
      </c>
      <c r="D25" s="550">
        <f t="shared" si="1"/>
        <v>28112</v>
      </c>
      <c r="F25" s="525" t="s">
        <v>349</v>
      </c>
      <c r="G25" s="463" t="s">
        <v>350</v>
      </c>
      <c r="H25" s="464">
        <v>42</v>
      </c>
      <c r="I25" s="521">
        <f t="shared" si="0"/>
        <v>227</v>
      </c>
    </row>
    <row r="26" spans="1:9" s="437" customFormat="1" ht="12.75">
      <c r="A26" s="548">
        <v>13000</v>
      </c>
      <c r="B26" s="443" t="s">
        <v>245</v>
      </c>
      <c r="C26" s="549">
        <v>3941</v>
      </c>
      <c r="D26" s="551">
        <f t="shared" si="1"/>
        <v>21281</v>
      </c>
      <c r="F26" s="525" t="s">
        <v>351</v>
      </c>
      <c r="G26" s="463" t="s">
        <v>352</v>
      </c>
      <c r="H26" s="464">
        <v>3</v>
      </c>
      <c r="I26" s="521">
        <f t="shared" si="0"/>
        <v>16</v>
      </c>
    </row>
    <row r="27" spans="1:9" s="437" customFormat="1" ht="12.75">
      <c r="A27" s="548">
        <v>14000</v>
      </c>
      <c r="B27" s="443" t="s">
        <v>246</v>
      </c>
      <c r="C27" s="549">
        <v>17821</v>
      </c>
      <c r="D27" s="551">
        <f t="shared" si="1"/>
        <v>96234</v>
      </c>
      <c r="F27" s="525" t="s">
        <v>353</v>
      </c>
      <c r="G27" s="463" t="s">
        <v>354</v>
      </c>
      <c r="H27" s="464">
        <v>141</v>
      </c>
      <c r="I27" s="521">
        <f t="shared" si="0"/>
        <v>761</v>
      </c>
    </row>
    <row r="28" spans="1:9" s="437" customFormat="1" ht="12.75">
      <c r="A28" s="548">
        <v>15000</v>
      </c>
      <c r="B28" s="443" t="s">
        <v>247</v>
      </c>
      <c r="C28" s="549">
        <v>10093</v>
      </c>
      <c r="D28" s="551">
        <f t="shared" si="1"/>
        <v>54502</v>
      </c>
      <c r="F28" s="525" t="s">
        <v>355</v>
      </c>
      <c r="G28" s="463" t="s">
        <v>356</v>
      </c>
      <c r="H28" s="464">
        <v>88</v>
      </c>
      <c r="I28" s="521">
        <f t="shared" si="0"/>
        <v>475</v>
      </c>
    </row>
    <row r="29" spans="1:9" s="437" customFormat="1" ht="12.75">
      <c r="A29" s="548">
        <v>16000</v>
      </c>
      <c r="B29" s="443" t="s">
        <v>248</v>
      </c>
      <c r="C29" s="549">
        <v>1864</v>
      </c>
      <c r="D29" s="551">
        <f t="shared" si="1"/>
        <v>10066</v>
      </c>
      <c r="F29" s="525" t="s">
        <v>357</v>
      </c>
      <c r="G29" s="463" t="s">
        <v>358</v>
      </c>
      <c r="H29" s="464">
        <v>223</v>
      </c>
      <c r="I29" s="521">
        <f t="shared" si="0"/>
        <v>1204</v>
      </c>
    </row>
    <row r="30" spans="1:9" s="437" customFormat="1" ht="12.75">
      <c r="A30" s="548">
        <v>17000</v>
      </c>
      <c r="B30" s="443" t="s">
        <v>249</v>
      </c>
      <c r="C30" s="549">
        <v>4079</v>
      </c>
      <c r="D30" s="551">
        <f t="shared" si="1"/>
        <v>22027</v>
      </c>
      <c r="F30" s="525" t="s">
        <v>359</v>
      </c>
      <c r="G30" s="463" t="s">
        <v>360</v>
      </c>
      <c r="H30" s="464">
        <v>121</v>
      </c>
      <c r="I30" s="521">
        <f t="shared" si="0"/>
        <v>653</v>
      </c>
    </row>
    <row r="31" spans="1:9" s="437" customFormat="1" ht="12.75">
      <c r="A31" s="548">
        <v>18000</v>
      </c>
      <c r="B31" s="443" t="s">
        <v>42</v>
      </c>
      <c r="C31" s="549">
        <v>3448</v>
      </c>
      <c r="D31" s="551">
        <f t="shared" si="1"/>
        <v>18619</v>
      </c>
      <c r="F31" s="525" t="s">
        <v>361</v>
      </c>
      <c r="G31" s="463" t="s">
        <v>362</v>
      </c>
      <c r="H31" s="464">
        <v>294</v>
      </c>
      <c r="I31" s="521">
        <f t="shared" si="0"/>
        <v>1588</v>
      </c>
    </row>
    <row r="32" spans="1:9" s="437" customFormat="1" ht="12.75">
      <c r="A32" s="548">
        <v>19000</v>
      </c>
      <c r="B32" s="443" t="s">
        <v>250</v>
      </c>
      <c r="C32" s="549">
        <v>2263</v>
      </c>
      <c r="D32" s="551">
        <f t="shared" si="1"/>
        <v>12220</v>
      </c>
      <c r="F32" s="525">
        <v>7100</v>
      </c>
      <c r="G32" s="463" t="s">
        <v>363</v>
      </c>
      <c r="H32" s="464">
        <v>35</v>
      </c>
      <c r="I32" s="521">
        <f t="shared" si="0"/>
        <v>189</v>
      </c>
    </row>
    <row r="33" spans="1:9" s="437" customFormat="1" ht="12.75">
      <c r="A33" s="548">
        <v>21000</v>
      </c>
      <c r="B33" s="443" t="s">
        <v>251</v>
      </c>
      <c r="C33" s="549">
        <v>11807</v>
      </c>
      <c r="D33" s="551">
        <f t="shared" si="1"/>
        <v>63758</v>
      </c>
      <c r="F33" s="525">
        <v>7200</v>
      </c>
      <c r="G33" s="463" t="s">
        <v>364</v>
      </c>
      <c r="H33" s="464">
        <v>1294</v>
      </c>
      <c r="I33" s="521">
        <f t="shared" si="0"/>
        <v>6988</v>
      </c>
    </row>
    <row r="34" spans="1:9" s="437" customFormat="1" ht="12.75">
      <c r="A34" s="548">
        <v>22000</v>
      </c>
      <c r="B34" s="443" t="s">
        <v>252</v>
      </c>
      <c r="C34" s="549">
        <v>2498</v>
      </c>
      <c r="D34" s="551">
        <f t="shared" si="1"/>
        <v>13489</v>
      </c>
      <c r="F34" s="525">
        <v>7300</v>
      </c>
      <c r="G34" s="463" t="s">
        <v>365</v>
      </c>
      <c r="H34" s="464">
        <v>152</v>
      </c>
      <c r="I34" s="521">
        <f t="shared" si="0"/>
        <v>821</v>
      </c>
    </row>
    <row r="35" spans="1:9" s="437" customFormat="1" ht="12.75">
      <c r="A35" s="548">
        <v>23000</v>
      </c>
      <c r="B35" s="443" t="s">
        <v>253</v>
      </c>
      <c r="C35" s="549">
        <v>6628</v>
      </c>
      <c r="D35" s="551">
        <f t="shared" si="1"/>
        <v>35791</v>
      </c>
      <c r="F35" s="525">
        <v>7500</v>
      </c>
      <c r="G35" s="463" t="s">
        <v>366</v>
      </c>
      <c r="H35" s="464">
        <v>1050</v>
      </c>
      <c r="I35" s="521">
        <f t="shared" si="0"/>
        <v>5670</v>
      </c>
    </row>
    <row r="36" spans="1:9" s="437" customFormat="1" ht="12.75">
      <c r="A36" s="548">
        <v>24000</v>
      </c>
      <c r="B36" s="443" t="s">
        <v>254</v>
      </c>
      <c r="C36" s="549">
        <v>3423</v>
      </c>
      <c r="D36" s="551">
        <f t="shared" si="1"/>
        <v>18484</v>
      </c>
      <c r="F36" s="525">
        <v>7600</v>
      </c>
      <c r="G36" s="463" t="s">
        <v>367</v>
      </c>
      <c r="H36" s="464">
        <v>916</v>
      </c>
      <c r="I36" s="521">
        <f t="shared" si="0"/>
        <v>4946</v>
      </c>
    </row>
    <row r="37" spans="1:9" s="437" customFormat="1" ht="12.75">
      <c r="A37" s="548">
        <v>25000</v>
      </c>
      <c r="B37" s="443" t="s">
        <v>255</v>
      </c>
      <c r="C37" s="549">
        <v>5170</v>
      </c>
      <c r="D37" s="551">
        <f t="shared" si="1"/>
        <v>27918</v>
      </c>
      <c r="F37" s="525">
        <v>7700</v>
      </c>
      <c r="G37" s="463" t="s">
        <v>368</v>
      </c>
      <c r="H37" s="464">
        <v>235</v>
      </c>
      <c r="I37" s="521">
        <f t="shared" si="0"/>
        <v>1269</v>
      </c>
    </row>
    <row r="38" spans="1:9" s="437" customFormat="1" ht="12.75">
      <c r="A38" s="548">
        <v>26000</v>
      </c>
      <c r="B38" s="443" t="s">
        <v>256</v>
      </c>
      <c r="C38" s="549">
        <v>14553</v>
      </c>
      <c r="D38" s="551">
        <f t="shared" si="1"/>
        <v>78586</v>
      </c>
      <c r="F38" s="525">
        <v>7800</v>
      </c>
      <c r="G38" s="463" t="s">
        <v>369</v>
      </c>
      <c r="H38" s="464">
        <v>469</v>
      </c>
      <c r="I38" s="521">
        <f t="shared" si="0"/>
        <v>2533</v>
      </c>
    </row>
    <row r="39" spans="1:9" s="437" customFormat="1" ht="12.75">
      <c r="A39" s="548">
        <v>27000</v>
      </c>
      <c r="B39" s="443" t="s">
        <v>257</v>
      </c>
      <c r="C39" s="549">
        <v>8459</v>
      </c>
      <c r="D39" s="551">
        <f t="shared" si="1"/>
        <v>45679</v>
      </c>
      <c r="F39" s="525">
        <v>7900</v>
      </c>
      <c r="G39" s="463" t="s">
        <v>370</v>
      </c>
      <c r="H39" s="464">
        <v>72</v>
      </c>
      <c r="I39" s="521">
        <f t="shared" si="0"/>
        <v>389</v>
      </c>
    </row>
    <row r="40" spans="1:9" s="437" customFormat="1" ht="12.75">
      <c r="A40" s="548">
        <v>28000</v>
      </c>
      <c r="B40" s="443" t="s">
        <v>258</v>
      </c>
      <c r="C40" s="549">
        <v>3951</v>
      </c>
      <c r="D40" s="551">
        <f t="shared" si="1"/>
        <v>21335</v>
      </c>
      <c r="F40" s="525" t="s">
        <v>371</v>
      </c>
      <c r="G40" s="463" t="s">
        <v>372</v>
      </c>
      <c r="H40" s="464">
        <v>17</v>
      </c>
      <c r="I40" s="521">
        <f t="shared" si="0"/>
        <v>92</v>
      </c>
    </row>
    <row r="41" spans="1:9" s="437" customFormat="1" ht="12.75">
      <c r="A41" s="548">
        <v>31000</v>
      </c>
      <c r="B41" s="443" t="s">
        <v>259</v>
      </c>
      <c r="C41" s="549">
        <v>8398</v>
      </c>
      <c r="D41" s="551">
        <f t="shared" si="1"/>
        <v>45349</v>
      </c>
      <c r="F41" s="525" t="s">
        <v>373</v>
      </c>
      <c r="G41" s="463" t="s">
        <v>374</v>
      </c>
      <c r="H41" s="464">
        <v>50</v>
      </c>
      <c r="I41" s="521">
        <f t="shared" si="0"/>
        <v>270</v>
      </c>
    </row>
    <row r="42" spans="1:9" s="437" customFormat="1" ht="12.75">
      <c r="A42" s="548">
        <v>41000</v>
      </c>
      <c r="B42" s="443" t="s">
        <v>260</v>
      </c>
      <c r="C42" s="549">
        <v>8266</v>
      </c>
      <c r="D42" s="551">
        <f t="shared" si="1"/>
        <v>44637</v>
      </c>
      <c r="F42" s="525" t="s">
        <v>375</v>
      </c>
      <c r="G42" s="463" t="s">
        <v>376</v>
      </c>
      <c r="H42" s="464">
        <v>102</v>
      </c>
      <c r="I42" s="521">
        <f t="shared" si="0"/>
        <v>551</v>
      </c>
    </row>
    <row r="43" spans="1:9" s="437" customFormat="1" ht="12.75">
      <c r="A43" s="548">
        <v>43000</v>
      </c>
      <c r="B43" s="443" t="s">
        <v>261</v>
      </c>
      <c r="C43" s="549">
        <v>6249</v>
      </c>
      <c r="D43" s="551">
        <f t="shared" si="1"/>
        <v>33745</v>
      </c>
      <c r="F43" s="525" t="s">
        <v>377</v>
      </c>
      <c r="G43" s="463" t="s">
        <v>378</v>
      </c>
      <c r="H43" s="464">
        <v>175</v>
      </c>
      <c r="I43" s="521">
        <f t="shared" si="0"/>
        <v>945</v>
      </c>
    </row>
    <row r="44" spans="1:9" s="437" customFormat="1" ht="12.75">
      <c r="A44" s="548">
        <v>51000</v>
      </c>
      <c r="B44" s="443" t="s">
        <v>262</v>
      </c>
      <c r="C44" s="549">
        <v>508</v>
      </c>
      <c r="D44" s="551">
        <f t="shared" si="1"/>
        <v>2743</v>
      </c>
      <c r="F44" s="525" t="s">
        <v>406</v>
      </c>
      <c r="G44" s="463" t="s">
        <v>379</v>
      </c>
      <c r="H44" s="464">
        <v>37</v>
      </c>
      <c r="I44" s="521">
        <f t="shared" si="0"/>
        <v>200</v>
      </c>
    </row>
    <row r="45" spans="1:9" s="437" customFormat="1" ht="12.75">
      <c r="A45" s="548">
        <v>52000</v>
      </c>
      <c r="B45" s="443" t="s">
        <v>263</v>
      </c>
      <c r="C45" s="549">
        <v>156</v>
      </c>
      <c r="D45" s="551">
        <f t="shared" si="1"/>
        <v>842</v>
      </c>
      <c r="F45" s="525" t="s">
        <v>380</v>
      </c>
      <c r="G45" s="463" t="s">
        <v>381</v>
      </c>
      <c r="H45" s="464">
        <v>164</v>
      </c>
      <c r="I45" s="521">
        <f t="shared" si="0"/>
        <v>886</v>
      </c>
    </row>
    <row r="46" spans="1:9" s="437" customFormat="1" ht="12.75">
      <c r="A46" s="548">
        <v>53000</v>
      </c>
      <c r="B46" s="443" t="s">
        <v>264</v>
      </c>
      <c r="C46" s="549">
        <v>244</v>
      </c>
      <c r="D46" s="551">
        <f t="shared" si="1"/>
        <v>1318</v>
      </c>
      <c r="F46" s="525" t="s">
        <v>382</v>
      </c>
      <c r="G46" s="463" t="s">
        <v>383</v>
      </c>
      <c r="H46" s="464">
        <v>16</v>
      </c>
      <c r="I46" s="521">
        <f t="shared" si="0"/>
        <v>86</v>
      </c>
    </row>
    <row r="47" spans="1:9" s="437" customFormat="1" ht="12.75">
      <c r="A47" s="548">
        <v>54000</v>
      </c>
      <c r="B47" s="443" t="s">
        <v>265</v>
      </c>
      <c r="C47" s="549">
        <v>396</v>
      </c>
      <c r="D47" s="551">
        <f t="shared" si="1"/>
        <v>2138</v>
      </c>
      <c r="F47" s="525" t="s">
        <v>384</v>
      </c>
      <c r="G47" s="463" t="s">
        <v>385</v>
      </c>
      <c r="H47" s="464">
        <v>8</v>
      </c>
      <c r="I47" s="521">
        <f t="shared" si="0"/>
        <v>43</v>
      </c>
    </row>
    <row r="48" spans="1:9" s="437" customFormat="1" ht="12.75">
      <c r="A48" s="548">
        <v>55000</v>
      </c>
      <c r="B48" s="443" t="s">
        <v>266</v>
      </c>
      <c r="C48" s="549">
        <v>1202</v>
      </c>
      <c r="D48" s="551">
        <f t="shared" si="1"/>
        <v>6491</v>
      </c>
      <c r="F48" s="525" t="s">
        <v>386</v>
      </c>
      <c r="G48" s="463" t="s">
        <v>387</v>
      </c>
      <c r="H48" s="464">
        <v>24</v>
      </c>
      <c r="I48" s="521">
        <f t="shared" si="0"/>
        <v>130</v>
      </c>
    </row>
    <row r="49" spans="1:9" s="437" customFormat="1" ht="13.5" thickBot="1">
      <c r="A49" s="552">
        <v>56000</v>
      </c>
      <c r="B49" s="553" t="s">
        <v>393</v>
      </c>
      <c r="C49" s="554">
        <v>1352</v>
      </c>
      <c r="D49" s="555">
        <f t="shared" si="1"/>
        <v>7301</v>
      </c>
      <c r="F49" s="525" t="s">
        <v>388</v>
      </c>
      <c r="G49" s="463" t="s">
        <v>389</v>
      </c>
      <c r="H49" s="464">
        <v>540</v>
      </c>
      <c r="I49" s="556">
        <f t="shared" si="0"/>
        <v>2916</v>
      </c>
    </row>
    <row r="50" spans="1:9" s="437" customFormat="1" ht="13.5" thickBot="1">
      <c r="A50" s="445" t="s">
        <v>33</v>
      </c>
      <c r="B50" s="446"/>
      <c r="C50" s="447">
        <f>SUM(C24:C49)</f>
        <v>151203</v>
      </c>
      <c r="D50" s="448">
        <f>SUM(D24:D49)</f>
        <v>816497</v>
      </c>
      <c r="F50" s="445"/>
      <c r="G50" s="446"/>
      <c r="H50" s="447">
        <f>SUM(H12:H49)</f>
        <v>10458</v>
      </c>
      <c r="I50" s="557">
        <f>SUM(I12:I49)</f>
        <v>56474</v>
      </c>
    </row>
    <row r="51" spans="3:4" s="437" customFormat="1" ht="12.75">
      <c r="C51" s="438"/>
      <c r="D51" s="438"/>
    </row>
    <row r="52" s="437" customFormat="1" ht="12.75"/>
    <row r="53" s="437" customFormat="1" ht="12.75"/>
    <row r="54" s="437" customFormat="1" ht="12.75"/>
    <row r="55" s="437" customFormat="1" ht="12.75"/>
    <row r="56" spans="8:9" ht="14.25">
      <c r="H56" s="436"/>
      <c r="I56" s="436"/>
    </row>
    <row r="57" spans="8:9" ht="14.25">
      <c r="H57" s="436"/>
      <c r="I57" s="436"/>
    </row>
    <row r="58" spans="8:9" ht="14.25">
      <c r="H58" s="436"/>
      <c r="I58" s="436"/>
    </row>
    <row r="59" spans="8:9" ht="14.25">
      <c r="H59" s="436"/>
      <c r="I59" s="436"/>
    </row>
    <row r="60" spans="8:9" ht="14.25">
      <c r="H60" s="436"/>
      <c r="I60" s="436"/>
    </row>
    <row r="61" spans="8:9" ht="14.25">
      <c r="H61" s="436"/>
      <c r="I61" s="436"/>
    </row>
    <row r="62" spans="8:9" ht="14.25">
      <c r="H62" s="436"/>
      <c r="I62" s="436"/>
    </row>
  </sheetData>
  <sheetProtection/>
  <printOptions horizontalCentered="1"/>
  <pageMargins left="0.5118110236220472" right="0.35433070866141736" top="0.5511811023622047" bottom="0.5118110236220472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A41"/>
  <sheetViews>
    <sheetView zoomScale="80" zoomScaleNormal="80" zoomScaleSheetLayoutView="100" workbookViewId="0" topLeftCell="A1">
      <selection activeCell="M12" sqref="M12:M37"/>
    </sheetView>
  </sheetViews>
  <sheetFormatPr defaultColWidth="9.140625" defaultRowHeight="12.75"/>
  <cols>
    <col min="1" max="1" width="9.140625" style="123" customWidth="1"/>
    <col min="2" max="2" width="13.140625" style="123" customWidth="1"/>
    <col min="3" max="3" width="12.140625" style="123" customWidth="1"/>
    <col min="4" max="4" width="11.140625" style="123" customWidth="1"/>
    <col min="5" max="5" width="10.57421875" style="123" customWidth="1"/>
    <col min="6" max="6" width="9.140625" style="123" customWidth="1"/>
    <col min="7" max="7" width="10.57421875" style="123" customWidth="1"/>
    <col min="8" max="8" width="9.140625" style="123" customWidth="1"/>
    <col min="9" max="9" width="2.8515625" style="123" customWidth="1"/>
    <col min="10" max="10" width="13.140625" style="123" customWidth="1"/>
    <col min="11" max="11" width="11.7109375" style="123" customWidth="1"/>
    <col min="12" max="12" width="10.8515625" style="123" bestFit="1" customWidth="1"/>
    <col min="13" max="13" width="11.00390625" style="123" customWidth="1"/>
    <col min="14" max="14" width="9.140625" style="123" customWidth="1"/>
    <col min="15" max="15" width="10.57421875" style="123" customWidth="1"/>
    <col min="16" max="16" width="9.140625" style="123" customWidth="1"/>
    <col min="17" max="17" width="3.00390625" style="123" customWidth="1"/>
    <col min="18" max="18" width="14.00390625" style="123" customWidth="1"/>
    <col min="19" max="19" width="12.421875" style="123" customWidth="1"/>
    <col min="20" max="20" width="13.7109375" style="123" customWidth="1"/>
    <col min="21" max="21" width="14.140625" style="123" customWidth="1"/>
    <col min="22" max="22" width="12.7109375" style="123" customWidth="1"/>
    <col min="23" max="23" width="13.57421875" style="123" customWidth="1"/>
    <col min="24" max="16384" width="9.140625" style="123" customWidth="1"/>
  </cols>
  <sheetData>
    <row r="1" spans="2:24" ht="19.5">
      <c r="B1" s="121" t="s">
        <v>449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2:24" ht="15">
      <c r="B2" s="124"/>
      <c r="C2" s="125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2:24" ht="18" customHeight="1">
      <c r="B3" s="1059" t="s">
        <v>456</v>
      </c>
      <c r="C3" s="1060"/>
      <c r="D3" s="1060"/>
      <c r="E3" s="1060"/>
      <c r="F3" s="1060"/>
      <c r="G3" s="1060"/>
      <c r="H3" s="1060"/>
      <c r="I3" s="126"/>
      <c r="J3" s="1061" t="s">
        <v>390</v>
      </c>
      <c r="K3" s="1062"/>
      <c r="L3" s="1062"/>
      <c r="M3" s="1062"/>
      <c r="N3" s="1062"/>
      <c r="O3" s="1062"/>
      <c r="P3" s="1062"/>
      <c r="Q3" s="122"/>
      <c r="R3" s="782" t="s">
        <v>440</v>
      </c>
      <c r="S3" s="782"/>
      <c r="T3" s="782"/>
      <c r="U3" s="782"/>
      <c r="V3" s="782"/>
      <c r="W3" s="782"/>
      <c r="X3" s="122"/>
    </row>
    <row r="4" spans="2:24" ht="12.75" customHeight="1">
      <c r="B4" s="124"/>
      <c r="C4" s="122"/>
      <c r="D4" s="122"/>
      <c r="E4" s="122"/>
      <c r="F4" s="122"/>
      <c r="G4" s="122"/>
      <c r="H4" s="122"/>
      <c r="I4" s="122"/>
      <c r="J4" s="122"/>
      <c r="K4" s="124"/>
      <c r="L4" s="122"/>
      <c r="M4" s="122"/>
      <c r="N4" s="122"/>
      <c r="O4" s="122"/>
      <c r="P4" s="122"/>
      <c r="Q4" s="122"/>
      <c r="R4" s="122"/>
      <c r="S4" s="124"/>
      <c r="T4" s="122"/>
      <c r="U4" s="122"/>
      <c r="V4" s="122"/>
      <c r="W4" s="122"/>
      <c r="X4" s="122"/>
    </row>
    <row r="5" spans="2:24" ht="12.75" customHeight="1">
      <c r="B5" s="1063" t="s">
        <v>109</v>
      </c>
      <c r="C5" s="1064"/>
      <c r="D5" s="127">
        <f>D7*0.775</f>
        <v>12325277.6</v>
      </c>
      <c r="E5" s="128" t="s">
        <v>108</v>
      </c>
      <c r="F5" s="122"/>
      <c r="G5" s="122"/>
      <c r="H5" s="122"/>
      <c r="I5" s="122"/>
      <c r="J5" s="129" t="s">
        <v>109</v>
      </c>
      <c r="K5" s="130"/>
      <c r="L5" s="127">
        <v>12394580</v>
      </c>
      <c r="M5" s="128" t="s">
        <v>108</v>
      </c>
      <c r="O5" s="125"/>
      <c r="P5" s="122"/>
      <c r="Q5" s="122"/>
      <c r="R5" s="122"/>
      <c r="S5" s="131"/>
      <c r="T5" s="122"/>
      <c r="U5" s="122"/>
      <c r="V5" s="122"/>
      <c r="W5" s="122"/>
      <c r="X5" s="122"/>
    </row>
    <row r="6" spans="2:24" ht="12.75" customHeight="1">
      <c r="B6" s="1065" t="s">
        <v>110</v>
      </c>
      <c r="C6" s="1066"/>
      <c r="D6" s="127">
        <f>D7*0.225</f>
        <v>3578306.4</v>
      </c>
      <c r="E6" s="128" t="s">
        <v>108</v>
      </c>
      <c r="F6" s="122"/>
      <c r="G6" s="122"/>
      <c r="H6" s="122"/>
      <c r="I6" s="122"/>
      <c r="J6" s="132" t="s">
        <v>110</v>
      </c>
      <c r="K6" s="133"/>
      <c r="L6" s="127">
        <v>3598426</v>
      </c>
      <c r="M6" s="128" t="s">
        <v>108</v>
      </c>
      <c r="O6" s="122"/>
      <c r="P6" s="122"/>
      <c r="Q6" s="122"/>
      <c r="R6" s="134"/>
      <c r="S6" s="124"/>
      <c r="T6" s="122"/>
      <c r="U6" s="122"/>
      <c r="V6" s="122"/>
      <c r="W6" s="122"/>
      <c r="X6" s="122"/>
    </row>
    <row r="7" spans="2:24" ht="12.75" customHeight="1">
      <c r="B7" s="1067" t="s">
        <v>33</v>
      </c>
      <c r="C7" s="1068"/>
      <c r="D7" s="127">
        <f>G38</f>
        <v>15903584</v>
      </c>
      <c r="E7" s="128" t="s">
        <v>108</v>
      </c>
      <c r="F7" s="122"/>
      <c r="G7" s="122"/>
      <c r="H7" s="122"/>
      <c r="I7" s="122"/>
      <c r="J7" s="135" t="s">
        <v>33</v>
      </c>
      <c r="K7" s="136"/>
      <c r="L7" s="127">
        <f>SUM(L5:L6)</f>
        <v>15993006</v>
      </c>
      <c r="M7" s="128" t="s">
        <v>108</v>
      </c>
      <c r="O7" s="122"/>
      <c r="P7" s="122"/>
      <c r="Q7" s="122"/>
      <c r="R7" s="122"/>
      <c r="S7" s="124"/>
      <c r="T7" s="122"/>
      <c r="U7" s="122"/>
      <c r="V7" s="122"/>
      <c r="W7" s="122"/>
      <c r="X7" s="122"/>
    </row>
    <row r="8" spans="6:24" ht="12.75" customHeight="1"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4"/>
      <c r="T8" s="122"/>
      <c r="U8" s="122"/>
      <c r="V8" s="122"/>
      <c r="W8" s="122"/>
      <c r="X8" s="122"/>
    </row>
    <row r="9" spans="2:24" ht="12.75" customHeight="1" thickBo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2.75" customHeight="1">
      <c r="A10" s="1087" t="s">
        <v>276</v>
      </c>
      <c r="B10" s="1077" t="s">
        <v>111</v>
      </c>
      <c r="C10" s="1071" t="s">
        <v>112</v>
      </c>
      <c r="D10" s="1073" t="s">
        <v>113</v>
      </c>
      <c r="E10" s="1075" t="s">
        <v>114</v>
      </c>
      <c r="F10" s="1079" t="s">
        <v>115</v>
      </c>
      <c r="G10" s="1081" t="s">
        <v>33</v>
      </c>
      <c r="H10" s="1097" t="s">
        <v>116</v>
      </c>
      <c r="I10" s="137"/>
      <c r="J10" s="1069" t="s">
        <v>111</v>
      </c>
      <c r="K10" s="1071" t="s">
        <v>112</v>
      </c>
      <c r="L10" s="1073" t="s">
        <v>113</v>
      </c>
      <c r="M10" s="1075" t="s">
        <v>114</v>
      </c>
      <c r="N10" s="1073" t="s">
        <v>115</v>
      </c>
      <c r="O10" s="1089" t="s">
        <v>33</v>
      </c>
      <c r="P10" s="1091" t="s">
        <v>116</v>
      </c>
      <c r="Q10" s="137"/>
      <c r="R10" s="1093" t="s">
        <v>111</v>
      </c>
      <c r="S10" s="1095" t="s">
        <v>117</v>
      </c>
      <c r="T10" s="1095" t="s">
        <v>118</v>
      </c>
      <c r="U10" s="1095" t="s">
        <v>119</v>
      </c>
      <c r="V10" s="1083" t="s">
        <v>462</v>
      </c>
      <c r="W10" s="1085" t="s">
        <v>463</v>
      </c>
      <c r="X10" s="137"/>
    </row>
    <row r="11" spans="1:24" ht="12.75" customHeight="1" thickBot="1">
      <c r="A11" s="1088"/>
      <c r="B11" s="1078"/>
      <c r="C11" s="1072"/>
      <c r="D11" s="1074"/>
      <c r="E11" s="1076"/>
      <c r="F11" s="1080"/>
      <c r="G11" s="1082"/>
      <c r="H11" s="1098"/>
      <c r="I11" s="138"/>
      <c r="J11" s="1070"/>
      <c r="K11" s="1072"/>
      <c r="L11" s="1074"/>
      <c r="M11" s="1076"/>
      <c r="N11" s="1074"/>
      <c r="O11" s="1090"/>
      <c r="P11" s="1092"/>
      <c r="Q11" s="923"/>
      <c r="R11" s="1094"/>
      <c r="S11" s="1096"/>
      <c r="T11" s="1096"/>
      <c r="U11" s="1096"/>
      <c r="V11" s="1084"/>
      <c r="W11" s="1086" t="s">
        <v>120</v>
      </c>
      <c r="X11" s="138"/>
    </row>
    <row r="12" spans="1:27" ht="12.75" customHeight="1">
      <c r="A12" s="623">
        <v>11000</v>
      </c>
      <c r="B12" s="139" t="s">
        <v>121</v>
      </c>
      <c r="C12" s="140">
        <v>1825491</v>
      </c>
      <c r="D12" s="141">
        <f aca="true" t="shared" si="0" ref="D12:D37">C12/C$38</f>
        <v>0.14810951931469618</v>
      </c>
      <c r="E12" s="142">
        <v>794835.1358148758</v>
      </c>
      <c r="F12" s="143">
        <f aca="true" t="shared" si="1" ref="F12:F37">E12/E$38</f>
        <v>0.22212609425098795</v>
      </c>
      <c r="G12" s="144">
        <f>C12+E12</f>
        <v>2620326.135814876</v>
      </c>
      <c r="H12" s="145">
        <f>G12/G$38</f>
        <v>0.16476324681372928</v>
      </c>
      <c r="I12" s="122"/>
      <c r="J12" s="139" t="s">
        <v>121</v>
      </c>
      <c r="K12" s="140">
        <v>1907618</v>
      </c>
      <c r="L12" s="141">
        <f aca="true" t="shared" si="2" ref="L12:L37">K12/K$38</f>
        <v>0.15390743373313173</v>
      </c>
      <c r="M12" s="140">
        <f>4_K!BI8</f>
        <v>768503</v>
      </c>
      <c r="N12" s="143">
        <f aca="true" t="shared" si="3" ref="N12:N37">M12/M$38</f>
        <v>0.21356643154534788</v>
      </c>
      <c r="O12" s="146">
        <f>K12+M12</f>
        <v>2676121</v>
      </c>
      <c r="P12" s="145">
        <f>O12/O$38</f>
        <v>0.16733070693526908</v>
      </c>
      <c r="Q12" s="924"/>
      <c r="R12" s="147" t="s">
        <v>121</v>
      </c>
      <c r="S12" s="148">
        <f>L12/D12-1</f>
        <v>0.039146129467319435</v>
      </c>
      <c r="T12" s="149">
        <f>N12/F12-1</f>
        <v>-0.03853515155210996</v>
      </c>
      <c r="U12" s="149">
        <f>P12/H12-1</f>
        <v>0.015582723521116337</v>
      </c>
      <c r="V12" s="150">
        <f>O12-G12</f>
        <v>55794.86418512417</v>
      </c>
      <c r="W12" s="151">
        <f>O12/G12-1</f>
        <v>0.021293099138505855</v>
      </c>
      <c r="X12" s="122"/>
      <c r="Z12" s="909"/>
      <c r="AA12" s="909"/>
    </row>
    <row r="13" spans="1:27" ht="12.75" customHeight="1">
      <c r="A13" s="624">
        <v>12000</v>
      </c>
      <c r="B13" s="152" t="s">
        <v>122</v>
      </c>
      <c r="C13" s="153">
        <v>426216</v>
      </c>
      <c r="D13" s="154">
        <f t="shared" si="0"/>
        <v>0.034580639884958374</v>
      </c>
      <c r="E13" s="155">
        <v>110673.70565873905</v>
      </c>
      <c r="F13" s="156">
        <f t="shared" si="1"/>
        <v>0.030929078077374893</v>
      </c>
      <c r="G13" s="157">
        <f aca="true" t="shared" si="4" ref="G13:G37">C13+E13</f>
        <v>536889.7056587391</v>
      </c>
      <c r="H13" s="158">
        <f aca="true" t="shared" si="5" ref="H13:H37">G13/G$38</f>
        <v>0.03375903857009458</v>
      </c>
      <c r="I13" s="122"/>
      <c r="J13" s="152" t="s">
        <v>122</v>
      </c>
      <c r="K13" s="153">
        <v>417031</v>
      </c>
      <c r="L13" s="154">
        <f t="shared" si="2"/>
        <v>0.033646238920560435</v>
      </c>
      <c r="M13" s="153">
        <f>4_K!BI9</f>
        <v>107378</v>
      </c>
      <c r="N13" s="156">
        <f t="shared" si="3"/>
        <v>0.029840269050968395</v>
      </c>
      <c r="O13" s="159">
        <f aca="true" t="shared" si="6" ref="O13:O37">K13+M13</f>
        <v>524409</v>
      </c>
      <c r="P13" s="158">
        <f aca="true" t="shared" si="7" ref="P13:P37">O13/O$38</f>
        <v>0.03278989578319423</v>
      </c>
      <c r="Q13" s="160"/>
      <c r="R13" s="161" t="s">
        <v>122</v>
      </c>
      <c r="S13" s="148">
        <f aca="true" t="shared" si="8" ref="S13:S37">L13/D13-1</f>
        <v>-0.027020927533627725</v>
      </c>
      <c r="T13" s="149">
        <f aca="true" t="shared" si="9" ref="T13:T37">N13/F13-1</f>
        <v>-0.03520341032094909</v>
      </c>
      <c r="U13" s="149">
        <f aca="true" t="shared" si="10" ref="U13:U37">P13/H13-1</f>
        <v>-0.028707653652164877</v>
      </c>
      <c r="V13" s="150">
        <f aca="true" t="shared" si="11" ref="V13:V37">O13-G13</f>
        <v>-12480.705658739083</v>
      </c>
      <c r="W13" s="151">
        <f aca="true" t="shared" si="12" ref="W13:W38">O13/G13-1</f>
        <v>-0.02324631209575123</v>
      </c>
      <c r="X13" s="122"/>
      <c r="Z13" s="909"/>
      <c r="AA13" s="909"/>
    </row>
    <row r="14" spans="1:27" ht="12.75" customHeight="1">
      <c r="A14" s="624">
        <v>13000</v>
      </c>
      <c r="B14" s="152" t="s">
        <v>123</v>
      </c>
      <c r="C14" s="153">
        <v>351387</v>
      </c>
      <c r="D14" s="154">
        <f t="shared" si="0"/>
        <v>0.028509458366780854</v>
      </c>
      <c r="E14" s="155">
        <v>65623.55824577915</v>
      </c>
      <c r="F14" s="156">
        <f t="shared" si="1"/>
        <v>0.01833928072271604</v>
      </c>
      <c r="G14" s="157">
        <f t="shared" si="4"/>
        <v>417010.55824577913</v>
      </c>
      <c r="H14" s="158">
        <f t="shared" si="5"/>
        <v>0.02622116865266214</v>
      </c>
      <c r="I14" s="122"/>
      <c r="J14" s="152" t="s">
        <v>123</v>
      </c>
      <c r="K14" s="153">
        <v>345376</v>
      </c>
      <c r="L14" s="154">
        <f t="shared" si="2"/>
        <v>0.02786508296368251</v>
      </c>
      <c r="M14" s="153">
        <f>4_K!BI10</f>
        <v>67016</v>
      </c>
      <c r="N14" s="156">
        <f t="shared" si="3"/>
        <v>0.018623698250290543</v>
      </c>
      <c r="O14" s="159">
        <f t="shared" si="6"/>
        <v>412392</v>
      </c>
      <c r="P14" s="158">
        <f t="shared" si="7"/>
        <v>0.025785771605413017</v>
      </c>
      <c r="Q14" s="160"/>
      <c r="R14" s="161" t="s">
        <v>123</v>
      </c>
      <c r="S14" s="148">
        <f t="shared" si="8"/>
        <v>-0.022602162230102807</v>
      </c>
      <c r="T14" s="149">
        <f t="shared" si="9"/>
        <v>0.015508652268036327</v>
      </c>
      <c r="U14" s="149">
        <f t="shared" si="10"/>
        <v>-0.01660479183886099</v>
      </c>
      <c r="V14" s="150">
        <f t="shared" si="11"/>
        <v>-4618.5582457791315</v>
      </c>
      <c r="W14" s="151">
        <f t="shared" si="12"/>
        <v>-0.011075398822533056</v>
      </c>
      <c r="X14" s="122"/>
      <c r="Z14" s="909"/>
      <c r="AA14" s="909"/>
    </row>
    <row r="15" spans="1:27" ht="12.75" customHeight="1">
      <c r="A15" s="624">
        <v>14000</v>
      </c>
      <c r="B15" s="152" t="s">
        <v>106</v>
      </c>
      <c r="C15" s="153">
        <v>1358181</v>
      </c>
      <c r="D15" s="154">
        <f t="shared" si="0"/>
        <v>0.11019475585053741</v>
      </c>
      <c r="E15" s="155">
        <v>432214.49006799026</v>
      </c>
      <c r="F15" s="156">
        <f t="shared" si="1"/>
        <v>0.1207874592245577</v>
      </c>
      <c r="G15" s="157">
        <f t="shared" si="4"/>
        <v>1790395.4900679903</v>
      </c>
      <c r="H15" s="158">
        <f t="shared" si="5"/>
        <v>0.11257811384326893</v>
      </c>
      <c r="I15" s="122"/>
      <c r="J15" s="152" t="s">
        <v>106</v>
      </c>
      <c r="K15" s="153">
        <v>1368066</v>
      </c>
      <c r="L15" s="154">
        <f t="shared" si="2"/>
        <v>0.11037614828416938</v>
      </c>
      <c r="M15" s="153">
        <f>4_K!BI11</f>
        <v>452038</v>
      </c>
      <c r="N15" s="156">
        <f t="shared" si="3"/>
        <v>0.12562103541937503</v>
      </c>
      <c r="O15" s="159">
        <f t="shared" si="6"/>
        <v>1820104</v>
      </c>
      <c r="P15" s="158">
        <f t="shared" si="7"/>
        <v>0.1138062475559629</v>
      </c>
      <c r="Q15" s="160"/>
      <c r="R15" s="161" t="s">
        <v>106</v>
      </c>
      <c r="S15" s="148">
        <f t="shared" si="8"/>
        <v>0.001646107677555797</v>
      </c>
      <c r="T15" s="149">
        <f t="shared" si="9"/>
        <v>0.04001720233084094</v>
      </c>
      <c r="U15" s="149">
        <f t="shared" si="10"/>
        <v>0.010909169382636641</v>
      </c>
      <c r="V15" s="150">
        <f t="shared" si="11"/>
        <v>29708.509932009736</v>
      </c>
      <c r="W15" s="151">
        <f t="shared" si="12"/>
        <v>0.016593266737329415</v>
      </c>
      <c r="X15" s="122"/>
      <c r="Z15" s="909"/>
      <c r="AA15" s="909"/>
    </row>
    <row r="16" spans="1:27" ht="12.75" customHeight="1">
      <c r="A16" s="624">
        <v>15000</v>
      </c>
      <c r="B16" s="152" t="s">
        <v>124</v>
      </c>
      <c r="C16" s="153">
        <v>767182</v>
      </c>
      <c r="D16" s="154">
        <f t="shared" si="0"/>
        <v>0.062244600081231435</v>
      </c>
      <c r="E16" s="155">
        <v>225810.42343321955</v>
      </c>
      <c r="F16" s="156">
        <f t="shared" si="1"/>
        <v>0.06310539775894503</v>
      </c>
      <c r="G16" s="157">
        <f t="shared" si="4"/>
        <v>992992.4234332195</v>
      </c>
      <c r="H16" s="158">
        <f t="shared" si="5"/>
        <v>0.062438279537066585</v>
      </c>
      <c r="I16" s="122"/>
      <c r="J16" s="152" t="s">
        <v>124</v>
      </c>
      <c r="K16" s="153">
        <v>776781</v>
      </c>
      <c r="L16" s="154">
        <f t="shared" si="2"/>
        <v>0.06267102233395565</v>
      </c>
      <c r="M16" s="153">
        <f>4_K!BI12</f>
        <v>219741</v>
      </c>
      <c r="N16" s="156">
        <f t="shared" si="3"/>
        <v>0.06106586602030999</v>
      </c>
      <c r="O16" s="159">
        <f t="shared" si="6"/>
        <v>996522</v>
      </c>
      <c r="P16" s="158">
        <f t="shared" si="7"/>
        <v>0.062309862198513526</v>
      </c>
      <c r="Q16" s="160"/>
      <c r="R16" s="161" t="s">
        <v>124</v>
      </c>
      <c r="S16" s="148">
        <f t="shared" si="8"/>
        <v>0.006850750943338424</v>
      </c>
      <c r="T16" s="149">
        <f t="shared" si="9"/>
        <v>-0.032319449857931226</v>
      </c>
      <c r="U16" s="149">
        <f t="shared" si="10"/>
        <v>-0.0020567084728339013</v>
      </c>
      <c r="V16" s="150">
        <f t="shared" si="11"/>
        <v>3529.5765667804517</v>
      </c>
      <c r="W16" s="151">
        <f t="shared" si="12"/>
        <v>0.0035544848918152017</v>
      </c>
      <c r="X16" s="122"/>
      <c r="Z16" s="909"/>
      <c r="AA16" s="909"/>
    </row>
    <row r="17" spans="1:27" ht="12.75" customHeight="1">
      <c r="A17" s="624">
        <v>16000</v>
      </c>
      <c r="B17" s="152" t="s">
        <v>40</v>
      </c>
      <c r="C17" s="153">
        <v>203745</v>
      </c>
      <c r="D17" s="154">
        <f t="shared" si="0"/>
        <v>0.016530661620776425</v>
      </c>
      <c r="E17" s="155">
        <v>48117.33315034397</v>
      </c>
      <c r="F17" s="156">
        <f t="shared" si="1"/>
        <v>0.01344695874258489</v>
      </c>
      <c r="G17" s="157">
        <f t="shared" si="4"/>
        <v>251862.33315034397</v>
      </c>
      <c r="H17" s="158">
        <f t="shared" si="5"/>
        <v>0.015836828550743278</v>
      </c>
      <c r="I17" s="122"/>
      <c r="J17" s="152" t="s">
        <v>40</v>
      </c>
      <c r="K17" s="153">
        <v>212429</v>
      </c>
      <c r="L17" s="154">
        <f t="shared" si="2"/>
        <v>0.01713886230917062</v>
      </c>
      <c r="M17" s="153">
        <f>4_K!BI13</f>
        <v>47566</v>
      </c>
      <c r="N17" s="156">
        <f t="shared" si="3"/>
        <v>0.01321855722474215</v>
      </c>
      <c r="O17" s="159">
        <f t="shared" si="6"/>
        <v>259995</v>
      </c>
      <c r="P17" s="158">
        <f t="shared" si="7"/>
        <v>0.016256793750968394</v>
      </c>
      <c r="Q17" s="160"/>
      <c r="R17" s="161" t="s">
        <v>40</v>
      </c>
      <c r="S17" s="148">
        <f t="shared" si="8"/>
        <v>0.03679227742643909</v>
      </c>
      <c r="T17" s="149">
        <f t="shared" si="9"/>
        <v>-0.016985366149701808</v>
      </c>
      <c r="U17" s="149">
        <f t="shared" si="10"/>
        <v>0.026518263986977653</v>
      </c>
      <c r="V17" s="150">
        <f t="shared" si="11"/>
        <v>8132.6668496560305</v>
      </c>
      <c r="W17" s="151">
        <f t="shared" si="12"/>
        <v>0.032290127499142285</v>
      </c>
      <c r="X17" s="122"/>
      <c r="Z17" s="909"/>
      <c r="AA17" s="909"/>
    </row>
    <row r="18" spans="1:27" ht="12.75" customHeight="1">
      <c r="A18" s="624">
        <v>17000</v>
      </c>
      <c r="B18" s="152" t="s">
        <v>125</v>
      </c>
      <c r="C18" s="153">
        <v>338962</v>
      </c>
      <c r="D18" s="154">
        <f t="shared" si="0"/>
        <v>0.02750136751479358</v>
      </c>
      <c r="E18" s="155">
        <v>81662.60694347385</v>
      </c>
      <c r="F18" s="156">
        <f t="shared" si="1"/>
        <v>0.02282158287845529</v>
      </c>
      <c r="G18" s="157">
        <f t="shared" si="4"/>
        <v>420624.60694347386</v>
      </c>
      <c r="H18" s="158">
        <f t="shared" si="5"/>
        <v>0.026448416089321365</v>
      </c>
      <c r="I18" s="122"/>
      <c r="J18" s="152" t="s">
        <v>125</v>
      </c>
      <c r="K18" s="153">
        <v>351823</v>
      </c>
      <c r="L18" s="154">
        <f t="shared" si="2"/>
        <v>0.02838522967296996</v>
      </c>
      <c r="M18" s="153">
        <f>4_K!BI14</f>
        <v>85147</v>
      </c>
      <c r="N18" s="156">
        <f t="shared" si="3"/>
        <v>0.023662290123515114</v>
      </c>
      <c r="O18" s="159">
        <f t="shared" si="6"/>
        <v>436970</v>
      </c>
      <c r="P18" s="158">
        <f t="shared" si="7"/>
        <v>0.027322568377702104</v>
      </c>
      <c r="Q18" s="160"/>
      <c r="R18" s="161" t="s">
        <v>125</v>
      </c>
      <c r="S18" s="148">
        <f t="shared" si="8"/>
        <v>0.03213884392115873</v>
      </c>
      <c r="T18" s="149">
        <f t="shared" si="9"/>
        <v>0.03683825304919974</v>
      </c>
      <c r="U18" s="149">
        <f t="shared" si="10"/>
        <v>0.03305121506817499</v>
      </c>
      <c r="V18" s="150">
        <f t="shared" si="11"/>
        <v>16345.39305652614</v>
      </c>
      <c r="W18" s="151">
        <f t="shared" si="12"/>
        <v>0.03885981178158393</v>
      </c>
      <c r="X18" s="122"/>
      <c r="Z18" s="909"/>
      <c r="AA18" s="909"/>
    </row>
    <row r="19" spans="1:27" ht="12.75" customHeight="1">
      <c r="A19" s="624">
        <v>18000</v>
      </c>
      <c r="B19" s="152" t="s">
        <v>126</v>
      </c>
      <c r="C19" s="153">
        <v>244906</v>
      </c>
      <c r="D19" s="154">
        <f t="shared" si="0"/>
        <v>0.019870221182840663</v>
      </c>
      <c r="E19" s="155">
        <v>49948.324724127946</v>
      </c>
      <c r="F19" s="156">
        <f t="shared" si="1"/>
        <v>0.013958651027644908</v>
      </c>
      <c r="G19" s="157">
        <f t="shared" si="4"/>
        <v>294854.32472412795</v>
      </c>
      <c r="H19" s="158">
        <f t="shared" si="5"/>
        <v>0.018540118046606848</v>
      </c>
      <c r="I19" s="122"/>
      <c r="J19" s="152" t="s">
        <v>126</v>
      </c>
      <c r="K19" s="153">
        <v>240118</v>
      </c>
      <c r="L19" s="154">
        <f t="shared" si="2"/>
        <v>0.01937282263699133</v>
      </c>
      <c r="M19" s="153">
        <f>4_K!BI15</f>
        <v>52174</v>
      </c>
      <c r="N19" s="156">
        <f t="shared" si="3"/>
        <v>0.014499117113982614</v>
      </c>
      <c r="O19" s="159">
        <f t="shared" si="6"/>
        <v>292292</v>
      </c>
      <c r="P19" s="158">
        <f t="shared" si="7"/>
        <v>0.0182762390009733</v>
      </c>
      <c r="Q19" s="160"/>
      <c r="R19" s="161" t="s">
        <v>126</v>
      </c>
      <c r="S19" s="148">
        <f t="shared" si="8"/>
        <v>-0.02503236080124127</v>
      </c>
      <c r="T19" s="149">
        <f t="shared" si="9"/>
        <v>0.0387190771706607</v>
      </c>
      <c r="U19" s="149">
        <f t="shared" si="10"/>
        <v>-0.01423286761013054</v>
      </c>
      <c r="V19" s="150">
        <f t="shared" si="11"/>
        <v>-2562.324724127946</v>
      </c>
      <c r="W19" s="151">
        <f t="shared" si="12"/>
        <v>-0.008690137838491263</v>
      </c>
      <c r="X19" s="122"/>
      <c r="Z19" s="909"/>
      <c r="AA19" s="909"/>
    </row>
    <row r="20" spans="1:27" ht="12.75" customHeight="1">
      <c r="A20" s="624">
        <v>19000</v>
      </c>
      <c r="B20" s="152" t="s">
        <v>127</v>
      </c>
      <c r="C20" s="153">
        <v>227101</v>
      </c>
      <c r="D20" s="154">
        <f t="shared" si="0"/>
        <v>0.018425629020294716</v>
      </c>
      <c r="E20" s="155">
        <v>44722.646221895375</v>
      </c>
      <c r="F20" s="156">
        <f t="shared" si="1"/>
        <v>0.012498273267265396</v>
      </c>
      <c r="G20" s="157">
        <f t="shared" si="4"/>
        <v>271823.64622189535</v>
      </c>
      <c r="H20" s="158">
        <f t="shared" si="5"/>
        <v>0.01709197412494538</v>
      </c>
      <c r="I20" s="122"/>
      <c r="J20" s="152" t="s">
        <v>127</v>
      </c>
      <c r="K20" s="153">
        <v>217956</v>
      </c>
      <c r="L20" s="154">
        <f t="shared" si="2"/>
        <v>0.017584783026129164</v>
      </c>
      <c r="M20" s="153">
        <f>4_K!BI16</f>
        <v>43700</v>
      </c>
      <c r="N20" s="156">
        <f t="shared" si="3"/>
        <v>0.012144198602388934</v>
      </c>
      <c r="O20" s="159">
        <f t="shared" si="6"/>
        <v>261656</v>
      </c>
      <c r="P20" s="158">
        <f t="shared" si="7"/>
        <v>0.016360651649852443</v>
      </c>
      <c r="Q20" s="160"/>
      <c r="R20" s="161" t="s">
        <v>127</v>
      </c>
      <c r="S20" s="148">
        <f t="shared" si="8"/>
        <v>-0.045634588281323274</v>
      </c>
      <c r="T20" s="149">
        <f t="shared" si="9"/>
        <v>-0.02832988664152747</v>
      </c>
      <c r="U20" s="149">
        <f t="shared" si="10"/>
        <v>-0.04278747848240583</v>
      </c>
      <c r="V20" s="150">
        <f t="shared" si="11"/>
        <v>-10167.646221895353</v>
      </c>
      <c r="W20" s="151">
        <f t="shared" si="12"/>
        <v>-0.037405304370007886</v>
      </c>
      <c r="X20" s="122"/>
      <c r="Z20" s="909"/>
      <c r="AA20" s="909"/>
    </row>
    <row r="21" spans="1:27" ht="12.75" customHeight="1">
      <c r="A21" s="624">
        <v>21000</v>
      </c>
      <c r="B21" s="152" t="s">
        <v>128</v>
      </c>
      <c r="C21" s="153">
        <v>971086</v>
      </c>
      <c r="D21" s="154">
        <f t="shared" si="0"/>
        <v>0.07878816201955038</v>
      </c>
      <c r="E21" s="155">
        <v>328064.82572938496</v>
      </c>
      <c r="F21" s="156">
        <f t="shared" si="1"/>
        <v>0.09168160177731723</v>
      </c>
      <c r="G21" s="157">
        <f t="shared" si="4"/>
        <v>1299150.825729385</v>
      </c>
      <c r="H21" s="158">
        <f t="shared" si="5"/>
        <v>0.08168918564075776</v>
      </c>
      <c r="I21" s="122"/>
      <c r="J21" s="152" t="s">
        <v>128</v>
      </c>
      <c r="K21" s="153">
        <v>995851</v>
      </c>
      <c r="L21" s="154">
        <f t="shared" si="2"/>
        <v>0.08034568335514394</v>
      </c>
      <c r="M21" s="153">
        <f>4_K!BI17</f>
        <v>342985</v>
      </c>
      <c r="N21" s="156">
        <f t="shared" si="3"/>
        <v>0.09531528507186197</v>
      </c>
      <c r="O21" s="159">
        <f t="shared" si="6"/>
        <v>1338836</v>
      </c>
      <c r="P21" s="158">
        <f t="shared" si="7"/>
        <v>0.08371384341380225</v>
      </c>
      <c r="Q21" s="160"/>
      <c r="R21" s="161" t="s">
        <v>128</v>
      </c>
      <c r="S21" s="148">
        <f t="shared" si="8"/>
        <v>0.019768468963739405</v>
      </c>
      <c r="T21" s="149">
        <f t="shared" si="9"/>
        <v>0.03963372393264342</v>
      </c>
      <c r="U21" s="149">
        <f t="shared" si="10"/>
        <v>0.02478489358369007</v>
      </c>
      <c r="V21" s="150">
        <f t="shared" si="11"/>
        <v>39685.17427061498</v>
      </c>
      <c r="W21" s="151">
        <f t="shared" si="12"/>
        <v>0.030547010774006456</v>
      </c>
      <c r="X21" s="122"/>
      <c r="Z21" s="909"/>
      <c r="AA21" s="909"/>
    </row>
    <row r="22" spans="1:27" ht="12.75" customHeight="1">
      <c r="A22" s="624">
        <v>22000</v>
      </c>
      <c r="B22" s="152" t="s">
        <v>46</v>
      </c>
      <c r="C22" s="153">
        <v>231218</v>
      </c>
      <c r="D22" s="154">
        <f t="shared" si="0"/>
        <v>0.018759657997166473</v>
      </c>
      <c r="E22" s="155">
        <v>89690.11331544655</v>
      </c>
      <c r="F22" s="156">
        <f t="shared" si="1"/>
        <v>0.025064964627241643</v>
      </c>
      <c r="G22" s="157">
        <f t="shared" si="4"/>
        <v>320908.11331544654</v>
      </c>
      <c r="H22" s="158">
        <f t="shared" si="5"/>
        <v>0.020178351830345068</v>
      </c>
      <c r="I22" s="122"/>
      <c r="J22" s="152" t="s">
        <v>46</v>
      </c>
      <c r="K22" s="153">
        <v>248593</v>
      </c>
      <c r="L22" s="154">
        <f t="shared" si="2"/>
        <v>0.020056589251108144</v>
      </c>
      <c r="M22" s="153">
        <f>4_K!BI18</f>
        <v>94012</v>
      </c>
      <c r="N22" s="156">
        <f t="shared" si="3"/>
        <v>0.0261258672541828</v>
      </c>
      <c r="O22" s="159">
        <f t="shared" si="6"/>
        <v>342605</v>
      </c>
      <c r="P22" s="158">
        <f t="shared" si="7"/>
        <v>0.021422176668976427</v>
      </c>
      <c r="Q22" s="160"/>
      <c r="R22" s="161" t="s">
        <v>46</v>
      </c>
      <c r="S22" s="148">
        <f t="shared" si="8"/>
        <v>0.06913405639578096</v>
      </c>
      <c r="T22" s="149">
        <f t="shared" si="9"/>
        <v>0.042326117060948354</v>
      </c>
      <c r="U22" s="149">
        <f t="shared" si="10"/>
        <v>0.061641547787904205</v>
      </c>
      <c r="V22" s="150">
        <f t="shared" si="11"/>
        <v>21696.886684553465</v>
      </c>
      <c r="W22" s="151">
        <f t="shared" si="12"/>
        <v>0.06761090101584877</v>
      </c>
      <c r="X22" s="122"/>
      <c r="Z22" s="909"/>
      <c r="AA22" s="909"/>
    </row>
    <row r="23" spans="1:27" ht="12.75" customHeight="1">
      <c r="A23" s="624">
        <v>23000</v>
      </c>
      <c r="B23" s="152" t="s">
        <v>129</v>
      </c>
      <c r="C23" s="153">
        <v>498266</v>
      </c>
      <c r="D23" s="154">
        <f t="shared" si="0"/>
        <v>0.04042634981539565</v>
      </c>
      <c r="E23" s="155">
        <v>140410.59747799186</v>
      </c>
      <c r="F23" s="156">
        <f t="shared" si="1"/>
        <v>0.039239404756885476</v>
      </c>
      <c r="G23" s="157">
        <f t="shared" si="4"/>
        <v>638676.5974779918</v>
      </c>
      <c r="H23" s="158">
        <f t="shared" si="5"/>
        <v>0.04015928720708438</v>
      </c>
      <c r="I23" s="122"/>
      <c r="J23" s="152" t="s">
        <v>129</v>
      </c>
      <c r="K23" s="153">
        <v>487125</v>
      </c>
      <c r="L23" s="154">
        <f t="shared" si="2"/>
        <v>0.03930145273175856</v>
      </c>
      <c r="M23" s="153">
        <f>4_K!BI19</f>
        <v>131431</v>
      </c>
      <c r="N23" s="156">
        <f t="shared" si="3"/>
        <v>0.03652458046934966</v>
      </c>
      <c r="O23" s="159">
        <f t="shared" si="6"/>
        <v>618556</v>
      </c>
      <c r="P23" s="158">
        <f t="shared" si="7"/>
        <v>0.0386766565334872</v>
      </c>
      <c r="Q23" s="160"/>
      <c r="R23" s="161" t="s">
        <v>129</v>
      </c>
      <c r="S23" s="148">
        <f t="shared" si="8"/>
        <v>-0.027825838562567706</v>
      </c>
      <c r="T23" s="149">
        <f t="shared" si="9"/>
        <v>-0.06918617406038607</v>
      </c>
      <c r="U23" s="149">
        <f t="shared" si="10"/>
        <v>-0.03691874972660447</v>
      </c>
      <c r="V23" s="150">
        <f t="shared" si="11"/>
        <v>-20120.597477991832</v>
      </c>
      <c r="W23" s="151">
        <f t="shared" si="12"/>
        <v>-0.03150357717418195</v>
      </c>
      <c r="X23" s="122"/>
      <c r="Z23" s="909"/>
      <c r="AA23" s="909"/>
    </row>
    <row r="24" spans="1:27" ht="12.75" customHeight="1">
      <c r="A24" s="624">
        <v>24000</v>
      </c>
      <c r="B24" s="152" t="s">
        <v>130</v>
      </c>
      <c r="C24" s="153">
        <v>290919</v>
      </c>
      <c r="D24" s="154">
        <f t="shared" si="0"/>
        <v>0.023603443265133653</v>
      </c>
      <c r="E24" s="155">
        <v>72727.00638470479</v>
      </c>
      <c r="F24" s="156">
        <f t="shared" si="1"/>
        <v>0.02032442345196436</v>
      </c>
      <c r="G24" s="157">
        <f t="shared" si="4"/>
        <v>363646.0063847048</v>
      </c>
      <c r="H24" s="158">
        <f t="shared" si="5"/>
        <v>0.022865663889643038</v>
      </c>
      <c r="I24" s="122"/>
      <c r="J24" s="152" t="s">
        <v>130</v>
      </c>
      <c r="K24" s="153">
        <v>289142</v>
      </c>
      <c r="L24" s="154">
        <f t="shared" si="2"/>
        <v>0.023328099863004634</v>
      </c>
      <c r="M24" s="153">
        <f>4_K!BI20</f>
        <v>67052</v>
      </c>
      <c r="N24" s="156">
        <f t="shared" si="3"/>
        <v>0.018633702624425236</v>
      </c>
      <c r="O24" s="159">
        <f t="shared" si="6"/>
        <v>356194</v>
      </c>
      <c r="P24" s="158">
        <f t="shared" si="7"/>
        <v>0.022271860587059118</v>
      </c>
      <c r="Q24" s="160"/>
      <c r="R24" s="161" t="s">
        <v>130</v>
      </c>
      <c r="S24" s="148">
        <f t="shared" si="8"/>
        <v>-0.011665391317534968</v>
      </c>
      <c r="T24" s="149">
        <f t="shared" si="9"/>
        <v>-0.08318665626776811</v>
      </c>
      <c r="U24" s="149">
        <f t="shared" si="10"/>
        <v>-0.02596921329071411</v>
      </c>
      <c r="V24" s="150">
        <f t="shared" si="11"/>
        <v>-7452.006384704786</v>
      </c>
      <c r="W24" s="151">
        <f t="shared" si="12"/>
        <v>-0.020492474147567608</v>
      </c>
      <c r="X24" s="122"/>
      <c r="Z24" s="909"/>
      <c r="AA24" s="909"/>
    </row>
    <row r="25" spans="1:27" ht="12.75" customHeight="1">
      <c r="A25" s="624">
        <v>25000</v>
      </c>
      <c r="B25" s="152" t="s">
        <v>131</v>
      </c>
      <c r="C25" s="153">
        <v>377965</v>
      </c>
      <c r="D25" s="154">
        <f t="shared" si="0"/>
        <v>0.030665839748198784</v>
      </c>
      <c r="E25" s="155">
        <v>87931.96526875248</v>
      </c>
      <c r="F25" s="156">
        <f t="shared" si="1"/>
        <v>0.024573629328724953</v>
      </c>
      <c r="G25" s="157">
        <f t="shared" si="4"/>
        <v>465896.9652687525</v>
      </c>
      <c r="H25" s="158">
        <f t="shared" si="5"/>
        <v>0.029295092557045786</v>
      </c>
      <c r="I25" s="122"/>
      <c r="J25" s="152" t="s">
        <v>131</v>
      </c>
      <c r="K25" s="153">
        <v>359401</v>
      </c>
      <c r="L25" s="154">
        <f t="shared" si="2"/>
        <v>0.028996625944566094</v>
      </c>
      <c r="M25" s="153">
        <f>4_K!BI21</f>
        <v>87104</v>
      </c>
      <c r="N25" s="156">
        <f t="shared" si="3"/>
        <v>0.024206139017448183</v>
      </c>
      <c r="O25" s="159">
        <f t="shared" si="6"/>
        <v>446505</v>
      </c>
      <c r="P25" s="158">
        <f t="shared" si="7"/>
        <v>0.027918766490802292</v>
      </c>
      <c r="Q25" s="160"/>
      <c r="R25" s="161" t="s">
        <v>131</v>
      </c>
      <c r="S25" s="148">
        <f t="shared" si="8"/>
        <v>-0.05443235265490276</v>
      </c>
      <c r="T25" s="149">
        <f t="shared" si="9"/>
        <v>-0.014954661615539155</v>
      </c>
      <c r="U25" s="149">
        <f t="shared" si="10"/>
        <v>-0.046981454779956744</v>
      </c>
      <c r="V25" s="150">
        <f t="shared" si="11"/>
        <v>-19391.96526875248</v>
      </c>
      <c r="W25" s="151">
        <f t="shared" si="12"/>
        <v>-0.04162286238023949</v>
      </c>
      <c r="X25" s="122"/>
      <c r="Z25" s="909"/>
      <c r="AA25" s="909"/>
    </row>
    <row r="26" spans="1:27" ht="12.75" customHeight="1">
      <c r="A26" s="624">
        <v>26000</v>
      </c>
      <c r="B26" s="152" t="s">
        <v>132</v>
      </c>
      <c r="C26" s="153">
        <v>841043</v>
      </c>
      <c r="D26" s="154">
        <f t="shared" si="0"/>
        <v>0.06823724381713743</v>
      </c>
      <c r="E26" s="155">
        <v>254706.18374211315</v>
      </c>
      <c r="F26" s="156">
        <f t="shared" si="1"/>
        <v>0.0711806602739154</v>
      </c>
      <c r="G26" s="157">
        <f t="shared" si="4"/>
        <v>1095749.1837421132</v>
      </c>
      <c r="H26" s="158">
        <f t="shared" si="5"/>
        <v>0.06889951244588095</v>
      </c>
      <c r="I26" s="122"/>
      <c r="J26" s="152" t="s">
        <v>132</v>
      </c>
      <c r="K26" s="153">
        <v>857342</v>
      </c>
      <c r="L26" s="154">
        <f t="shared" si="2"/>
        <v>0.06917071816874795</v>
      </c>
      <c r="M26" s="153">
        <f>4_K!BI22</f>
        <v>252482</v>
      </c>
      <c r="N26" s="156">
        <f t="shared" si="3"/>
        <v>0.07016456639653004</v>
      </c>
      <c r="O26" s="159">
        <f t="shared" si="6"/>
        <v>1109824</v>
      </c>
      <c r="P26" s="158">
        <f t="shared" si="7"/>
        <v>0.06939433399824899</v>
      </c>
      <c r="Q26" s="160"/>
      <c r="R26" s="161" t="s">
        <v>132</v>
      </c>
      <c r="S26" s="148">
        <f t="shared" si="8"/>
        <v>0.013679836690239977</v>
      </c>
      <c r="T26" s="149">
        <f t="shared" si="9"/>
        <v>-0.014274858837713067</v>
      </c>
      <c r="U26" s="149">
        <f t="shared" si="10"/>
        <v>0.0071817859779008675</v>
      </c>
      <c r="V26" s="150">
        <f t="shared" si="11"/>
        <v>14074.816257886821</v>
      </c>
      <c r="W26" s="151">
        <f t="shared" si="12"/>
        <v>0.012844925158711717</v>
      </c>
      <c r="X26" s="122"/>
      <c r="Z26" s="909"/>
      <c r="AA26" s="909"/>
    </row>
    <row r="27" spans="1:27" ht="12.75" customHeight="1">
      <c r="A27" s="624">
        <v>27000</v>
      </c>
      <c r="B27" s="152" t="s">
        <v>133</v>
      </c>
      <c r="C27" s="153">
        <v>706004</v>
      </c>
      <c r="D27" s="154">
        <f t="shared" si="0"/>
        <v>0.057280979788042106</v>
      </c>
      <c r="E27" s="155">
        <v>144463.75398249296</v>
      </c>
      <c r="F27" s="156">
        <f t="shared" si="1"/>
        <v>0.04037210735540586</v>
      </c>
      <c r="G27" s="157">
        <f t="shared" si="4"/>
        <v>850467.753982493</v>
      </c>
      <c r="H27" s="158">
        <f t="shared" si="5"/>
        <v>0.05347648391598352</v>
      </c>
      <c r="I27" s="122"/>
      <c r="J27" s="152" t="s">
        <v>133</v>
      </c>
      <c r="K27" s="153">
        <v>695469</v>
      </c>
      <c r="L27" s="154">
        <f t="shared" si="2"/>
        <v>0.05611073549890355</v>
      </c>
      <c r="M27" s="153">
        <f>4_K!BI23</f>
        <v>156456</v>
      </c>
      <c r="N27" s="156">
        <f t="shared" si="3"/>
        <v>0.04347900998936757</v>
      </c>
      <c r="O27" s="159">
        <f t="shared" si="6"/>
        <v>851925</v>
      </c>
      <c r="P27" s="158">
        <f t="shared" si="7"/>
        <v>0.05326859753569779</v>
      </c>
      <c r="Q27" s="160"/>
      <c r="R27" s="161" t="s">
        <v>133</v>
      </c>
      <c r="S27" s="148">
        <f t="shared" si="8"/>
        <v>-0.02042989301979181</v>
      </c>
      <c r="T27" s="149">
        <f t="shared" si="9"/>
        <v>0.07695666234637843</v>
      </c>
      <c r="U27" s="149">
        <f t="shared" si="10"/>
        <v>-0.0038874354681271983</v>
      </c>
      <c r="V27" s="150">
        <f t="shared" si="11"/>
        <v>1457.2460175070446</v>
      </c>
      <c r="W27" s="151">
        <f t="shared" si="12"/>
        <v>0.001713464162142797</v>
      </c>
      <c r="X27" s="122"/>
      <c r="Z27" s="909"/>
      <c r="AA27" s="909"/>
    </row>
    <row r="28" spans="1:27" ht="12.75" customHeight="1">
      <c r="A28" s="624">
        <v>28000</v>
      </c>
      <c r="B28" s="152" t="s">
        <v>134</v>
      </c>
      <c r="C28" s="153">
        <v>464518</v>
      </c>
      <c r="D28" s="154">
        <f t="shared" si="0"/>
        <v>0.0376882371334748</v>
      </c>
      <c r="E28" s="155">
        <v>87366.8189069704</v>
      </c>
      <c r="F28" s="156">
        <f t="shared" si="1"/>
        <v>0.02441569248325056</v>
      </c>
      <c r="G28" s="157">
        <f t="shared" si="4"/>
        <v>551884.8189069704</v>
      </c>
      <c r="H28" s="158">
        <f t="shared" si="5"/>
        <v>0.034701914920999596</v>
      </c>
      <c r="I28" s="122"/>
      <c r="J28" s="152" t="s">
        <v>134</v>
      </c>
      <c r="K28" s="153">
        <v>453074</v>
      </c>
      <c r="L28" s="154">
        <f t="shared" si="2"/>
        <v>0.03655420353089818</v>
      </c>
      <c r="M28" s="153">
        <f>4_K!BI24</f>
        <v>87941</v>
      </c>
      <c r="N28" s="156">
        <f t="shared" si="3"/>
        <v>0.02443874071607975</v>
      </c>
      <c r="O28" s="159">
        <f t="shared" si="6"/>
        <v>541015</v>
      </c>
      <c r="P28" s="158">
        <f t="shared" si="7"/>
        <v>0.033828224662705686</v>
      </c>
      <c r="Q28" s="160"/>
      <c r="R28" s="161" t="s">
        <v>134</v>
      </c>
      <c r="S28" s="148">
        <f t="shared" si="8"/>
        <v>-0.03008985531905839</v>
      </c>
      <c r="T28" s="149">
        <f t="shared" si="9"/>
        <v>0.0009439925918546255</v>
      </c>
      <c r="U28" s="149">
        <f t="shared" si="10"/>
        <v>-0.025177004216709764</v>
      </c>
      <c r="V28" s="150">
        <f t="shared" si="11"/>
        <v>-10869.818906970439</v>
      </c>
      <c r="W28" s="151">
        <f t="shared" si="12"/>
        <v>-0.01969581067386228</v>
      </c>
      <c r="X28" s="122"/>
      <c r="Z28" s="909"/>
      <c r="AA28" s="909"/>
    </row>
    <row r="29" spans="1:27" ht="12.75" customHeight="1">
      <c r="A29" s="624">
        <v>31000</v>
      </c>
      <c r="B29" s="152" t="s">
        <v>135</v>
      </c>
      <c r="C29" s="153">
        <v>455940</v>
      </c>
      <c r="D29" s="154">
        <f t="shared" si="0"/>
        <v>0.036992269058758756</v>
      </c>
      <c r="E29" s="155">
        <v>122635.5352767901</v>
      </c>
      <c r="F29" s="156">
        <f t="shared" si="1"/>
        <v>0.034271953062927005</v>
      </c>
      <c r="G29" s="157">
        <f t="shared" si="4"/>
        <v>578575.5352767901</v>
      </c>
      <c r="H29" s="158">
        <f t="shared" si="5"/>
        <v>0.03638019802811682</v>
      </c>
      <c r="I29" s="122"/>
      <c r="J29" s="152" t="s">
        <v>135</v>
      </c>
      <c r="K29" s="153">
        <v>455850</v>
      </c>
      <c r="L29" s="154">
        <f t="shared" si="2"/>
        <v>0.03677817239470801</v>
      </c>
      <c r="M29" s="153">
        <f>4_K!BI25</f>
        <v>123627</v>
      </c>
      <c r="N29" s="156">
        <f t="shared" si="3"/>
        <v>0.034355854476373834</v>
      </c>
      <c r="O29" s="159">
        <f t="shared" si="6"/>
        <v>579477</v>
      </c>
      <c r="P29" s="158">
        <f t="shared" si="7"/>
        <v>0.0362331509160942</v>
      </c>
      <c r="Q29" s="160"/>
      <c r="R29" s="161" t="s">
        <v>135</v>
      </c>
      <c r="S29" s="148">
        <f t="shared" si="8"/>
        <v>-0.005787605613234437</v>
      </c>
      <c r="T29" s="149">
        <f t="shared" si="9"/>
        <v>0.0024481071531807785</v>
      </c>
      <c r="U29" s="149">
        <f t="shared" si="10"/>
        <v>-0.004041954689443128</v>
      </c>
      <c r="V29" s="150">
        <f t="shared" si="11"/>
        <v>901.4647232098505</v>
      </c>
      <c r="W29" s="151">
        <f t="shared" si="12"/>
        <v>0.0015580761166795742</v>
      </c>
      <c r="X29" s="122"/>
      <c r="Z29" s="909"/>
      <c r="AA29" s="909"/>
    </row>
    <row r="30" spans="1:27" ht="12.75" customHeight="1">
      <c r="A30" s="624">
        <v>41000</v>
      </c>
      <c r="B30" s="152" t="s">
        <v>136</v>
      </c>
      <c r="C30" s="153">
        <v>712334</v>
      </c>
      <c r="D30" s="154">
        <f t="shared" si="0"/>
        <v>0.0577945584675656</v>
      </c>
      <c r="E30" s="155">
        <v>151522.09930001327</v>
      </c>
      <c r="F30" s="156">
        <f t="shared" si="1"/>
        <v>0.042344645566928386</v>
      </c>
      <c r="G30" s="157">
        <f t="shared" si="4"/>
        <v>863856.0993000133</v>
      </c>
      <c r="H30" s="158">
        <f t="shared" si="5"/>
        <v>0.05431832845351169</v>
      </c>
      <c r="I30" s="122"/>
      <c r="J30" s="152" t="s">
        <v>136</v>
      </c>
      <c r="K30" s="153">
        <v>687943</v>
      </c>
      <c r="L30" s="154">
        <f t="shared" si="2"/>
        <v>0.055503534609482534</v>
      </c>
      <c r="M30" s="153">
        <f>4_K!BI26</f>
        <v>173333</v>
      </c>
      <c r="N30" s="156">
        <f t="shared" si="3"/>
        <v>0.04816911616356707</v>
      </c>
      <c r="O30" s="159">
        <f t="shared" si="6"/>
        <v>861276</v>
      </c>
      <c r="P30" s="158">
        <f t="shared" si="7"/>
        <v>0.05385329061966212</v>
      </c>
      <c r="Q30" s="160"/>
      <c r="R30" s="161" t="s">
        <v>136</v>
      </c>
      <c r="S30" s="148">
        <f t="shared" si="8"/>
        <v>-0.039640822922261676</v>
      </c>
      <c r="T30" s="149">
        <f t="shared" si="9"/>
        <v>0.13754916397712513</v>
      </c>
      <c r="U30" s="149">
        <f t="shared" si="10"/>
        <v>-0.008561342866939992</v>
      </c>
      <c r="V30" s="150">
        <f t="shared" si="11"/>
        <v>-2580.099300013273</v>
      </c>
      <c r="W30" s="151">
        <f t="shared" si="12"/>
        <v>-0.002986723485663756</v>
      </c>
      <c r="X30" s="122"/>
      <c r="Z30" s="909"/>
      <c r="AA30" s="909"/>
    </row>
    <row r="31" spans="1:27" ht="12.75" customHeight="1">
      <c r="A31" s="624">
        <v>43000</v>
      </c>
      <c r="B31" s="152" t="s">
        <v>137</v>
      </c>
      <c r="C31" s="153">
        <v>417871</v>
      </c>
      <c r="D31" s="154">
        <f t="shared" si="0"/>
        <v>0.033903576049156864</v>
      </c>
      <c r="E31" s="155">
        <v>105266.72122866224</v>
      </c>
      <c r="F31" s="156">
        <f t="shared" si="1"/>
        <v>0.029418032227725138</v>
      </c>
      <c r="G31" s="157">
        <f t="shared" si="4"/>
        <v>523137.72122866224</v>
      </c>
      <c r="H31" s="158">
        <f t="shared" si="5"/>
        <v>0.032894328802153164</v>
      </c>
      <c r="I31" s="122"/>
      <c r="J31" s="152" t="s">
        <v>137</v>
      </c>
      <c r="K31" s="153">
        <v>396184</v>
      </c>
      <c r="L31" s="154">
        <f t="shared" si="2"/>
        <v>0.031964294070472736</v>
      </c>
      <c r="M31" s="153">
        <f>4_K!BI27</f>
        <v>100369</v>
      </c>
      <c r="N31" s="156">
        <f t="shared" si="3"/>
        <v>0.02789247298680034</v>
      </c>
      <c r="O31" s="159">
        <f t="shared" si="6"/>
        <v>496553</v>
      </c>
      <c r="P31" s="158">
        <f t="shared" si="7"/>
        <v>0.031048134415756486</v>
      </c>
      <c r="Q31" s="160"/>
      <c r="R31" s="161" t="s">
        <v>137</v>
      </c>
      <c r="S31" s="148">
        <f t="shared" si="8"/>
        <v>-0.057199924157627424</v>
      </c>
      <c r="T31" s="149">
        <f t="shared" si="9"/>
        <v>-0.05185796348020266</v>
      </c>
      <c r="U31" s="149">
        <f t="shared" si="10"/>
        <v>-0.056125005544294004</v>
      </c>
      <c r="V31" s="150">
        <f t="shared" si="11"/>
        <v>-26584.721228662238</v>
      </c>
      <c r="W31" s="151">
        <f t="shared" si="12"/>
        <v>-0.05081782511539079</v>
      </c>
      <c r="X31" s="122"/>
      <c r="Z31" s="909"/>
      <c r="AA31" s="909"/>
    </row>
    <row r="32" spans="1:27" ht="12.75" customHeight="1">
      <c r="A32" s="624">
        <v>51000</v>
      </c>
      <c r="B32" s="152" t="s">
        <v>138</v>
      </c>
      <c r="C32" s="153">
        <v>197790</v>
      </c>
      <c r="D32" s="154">
        <f t="shared" si="0"/>
        <v>0.016047508218475882</v>
      </c>
      <c r="E32" s="155">
        <v>54210.11253151249</v>
      </c>
      <c r="F32" s="156">
        <f t="shared" si="1"/>
        <v>0.015149658115184247</v>
      </c>
      <c r="G32" s="157">
        <f t="shared" si="4"/>
        <v>252000.11253151248</v>
      </c>
      <c r="H32" s="158">
        <f t="shared" si="5"/>
        <v>0.0158454919678176</v>
      </c>
      <c r="I32" s="122"/>
      <c r="J32" s="152" t="s">
        <v>138</v>
      </c>
      <c r="K32" s="153">
        <v>198902</v>
      </c>
      <c r="L32" s="154">
        <f t="shared" si="2"/>
        <v>0.016047498180656383</v>
      </c>
      <c r="M32" s="153">
        <f>4_K!BI28</f>
        <v>51169</v>
      </c>
      <c r="N32" s="156">
        <f t="shared" si="3"/>
        <v>0.01421982833605582</v>
      </c>
      <c r="O32" s="159">
        <f t="shared" si="6"/>
        <v>250071</v>
      </c>
      <c r="P32" s="158">
        <f t="shared" si="7"/>
        <v>0.01563627250561902</v>
      </c>
      <c r="Q32" s="160"/>
      <c r="R32" s="161" t="s">
        <v>138</v>
      </c>
      <c r="S32" s="148">
        <f t="shared" si="8"/>
        <v>-6.255064252114195E-07</v>
      </c>
      <c r="T32" s="149">
        <f t="shared" si="9"/>
        <v>-0.06137628797025285</v>
      </c>
      <c r="U32" s="149">
        <f t="shared" si="10"/>
        <v>-0.013203721451092165</v>
      </c>
      <c r="V32" s="150">
        <f t="shared" si="11"/>
        <v>-1929.112531512481</v>
      </c>
      <c r="W32" s="151">
        <f t="shared" si="12"/>
        <v>-0.007655205039923341</v>
      </c>
      <c r="X32" s="122"/>
      <c r="Z32" s="909"/>
      <c r="AA32" s="909"/>
    </row>
    <row r="33" spans="1:27" ht="12.75" customHeight="1">
      <c r="A33" s="624">
        <v>52000</v>
      </c>
      <c r="B33" s="152" t="s">
        <v>139</v>
      </c>
      <c r="C33" s="153">
        <v>51551</v>
      </c>
      <c r="D33" s="154">
        <f t="shared" si="0"/>
        <v>0.004182542576321605</v>
      </c>
      <c r="E33" s="155">
        <v>15310.498877017713</v>
      </c>
      <c r="F33" s="156">
        <f t="shared" si="1"/>
        <v>0.004278700278013594</v>
      </c>
      <c r="G33" s="157">
        <f t="shared" si="4"/>
        <v>66861.49887701772</v>
      </c>
      <c r="H33" s="158">
        <f t="shared" si="5"/>
        <v>0.004204178056783786</v>
      </c>
      <c r="I33" s="122"/>
      <c r="J33" s="152" t="s">
        <v>139</v>
      </c>
      <c r="K33" s="153">
        <v>51840</v>
      </c>
      <c r="L33" s="154">
        <f t="shared" si="2"/>
        <v>0.004182473306880911</v>
      </c>
      <c r="M33" s="153">
        <f>4_K!BI29</f>
        <v>16064</v>
      </c>
      <c r="N33" s="156">
        <f t="shared" si="3"/>
        <v>0.00446417405832439</v>
      </c>
      <c r="O33" s="159">
        <f t="shared" si="6"/>
        <v>67904</v>
      </c>
      <c r="P33" s="158">
        <f t="shared" si="7"/>
        <v>0.004245855969790795</v>
      </c>
      <c r="Q33" s="160"/>
      <c r="R33" s="161" t="s">
        <v>139</v>
      </c>
      <c r="S33" s="148">
        <f t="shared" si="8"/>
        <v>-1.6561562597328106E-05</v>
      </c>
      <c r="T33" s="149">
        <f t="shared" si="9"/>
        <v>0.04334815908089351</v>
      </c>
      <c r="U33" s="149">
        <f t="shared" si="10"/>
        <v>0.009913450963324077</v>
      </c>
      <c r="V33" s="150">
        <f t="shared" si="11"/>
        <v>1042.5011229822849</v>
      </c>
      <c r="W33" s="151">
        <f t="shared" si="12"/>
        <v>0.015591949634569557</v>
      </c>
      <c r="X33" s="122"/>
      <c r="Z33" s="909"/>
      <c r="AA33" s="909"/>
    </row>
    <row r="34" spans="1:27" ht="12.75" customHeight="1">
      <c r="A34" s="624">
        <v>53000</v>
      </c>
      <c r="B34" s="152" t="s">
        <v>69</v>
      </c>
      <c r="C34" s="153">
        <v>73335</v>
      </c>
      <c r="D34" s="154">
        <f t="shared" si="0"/>
        <v>0.005949967213721264</v>
      </c>
      <c r="E34" s="155">
        <v>24813.241401858206</v>
      </c>
      <c r="F34" s="156">
        <f t="shared" si="1"/>
        <v>0.006934354245237328</v>
      </c>
      <c r="G34" s="157">
        <f t="shared" si="4"/>
        <v>98148.2414018582</v>
      </c>
      <c r="H34" s="158">
        <f t="shared" si="5"/>
        <v>0.006171454271053506</v>
      </c>
      <c r="I34" s="122"/>
      <c r="J34" s="152" t="s">
        <v>69</v>
      </c>
      <c r="K34" s="153">
        <v>73748</v>
      </c>
      <c r="L34" s="154">
        <f t="shared" si="2"/>
        <v>0.005950020089426185</v>
      </c>
      <c r="M34" s="153">
        <f>4_K!BI30</f>
        <v>23221</v>
      </c>
      <c r="N34" s="156">
        <f t="shared" si="3"/>
        <v>0.006453099216157287</v>
      </c>
      <c r="O34" s="159">
        <f t="shared" si="6"/>
        <v>96969</v>
      </c>
      <c r="P34" s="158">
        <f t="shared" si="7"/>
        <v>0.0060632128819310144</v>
      </c>
      <c r="Q34" s="160"/>
      <c r="R34" s="161" t="s">
        <v>69</v>
      </c>
      <c r="S34" s="148">
        <f t="shared" si="8"/>
        <v>8.886722064449515E-06</v>
      </c>
      <c r="T34" s="149">
        <f t="shared" si="9"/>
        <v>-0.06940156387461427</v>
      </c>
      <c r="U34" s="149">
        <f t="shared" si="10"/>
        <v>-0.01753904094050973</v>
      </c>
      <c r="V34" s="150">
        <f t="shared" si="11"/>
        <v>-1179.2414018582058</v>
      </c>
      <c r="W34" s="151">
        <f t="shared" si="12"/>
        <v>-0.012014900980547583</v>
      </c>
      <c r="X34" s="122"/>
      <c r="AA34" s="909"/>
    </row>
    <row r="35" spans="1:27" ht="12.75" customHeight="1">
      <c r="A35" s="624">
        <v>54000</v>
      </c>
      <c r="B35" s="152" t="s">
        <v>140</v>
      </c>
      <c r="C35" s="153">
        <v>108709</v>
      </c>
      <c r="D35" s="154">
        <f t="shared" si="0"/>
        <v>0.008820003897680848</v>
      </c>
      <c r="E35" s="155">
        <v>29872.4040270649</v>
      </c>
      <c r="F35" s="156">
        <f t="shared" si="1"/>
        <v>0.008348197171249438</v>
      </c>
      <c r="G35" s="157">
        <f t="shared" si="4"/>
        <v>138581.4040270649</v>
      </c>
      <c r="H35" s="158">
        <f t="shared" si="5"/>
        <v>0.008713847396100458</v>
      </c>
      <c r="I35" s="122"/>
      <c r="J35" s="152" t="s">
        <v>140</v>
      </c>
      <c r="K35" s="153">
        <v>109320</v>
      </c>
      <c r="L35" s="154">
        <f t="shared" si="2"/>
        <v>0.008819984218908587</v>
      </c>
      <c r="M35" s="153">
        <f>4_K!BI31</f>
        <v>30915</v>
      </c>
      <c r="N35" s="156">
        <f t="shared" si="3"/>
        <v>0.008591256288165993</v>
      </c>
      <c r="O35" s="159">
        <f t="shared" si="6"/>
        <v>140235</v>
      </c>
      <c r="P35" s="158">
        <f t="shared" si="7"/>
        <v>0.008768520439497116</v>
      </c>
      <c r="Q35" s="160"/>
      <c r="R35" s="161" t="s">
        <v>140</v>
      </c>
      <c r="S35" s="148">
        <f t="shared" si="8"/>
        <v>-2.2311523315554638E-06</v>
      </c>
      <c r="T35" s="149">
        <f t="shared" si="9"/>
        <v>0.02911516246329593</v>
      </c>
      <c r="U35" s="149">
        <f t="shared" si="10"/>
        <v>0.006274271387989305</v>
      </c>
      <c r="V35" s="150">
        <f t="shared" si="11"/>
        <v>1653.595972935087</v>
      </c>
      <c r="W35" s="151">
        <f t="shared" si="12"/>
        <v>0.01193230783411714</v>
      </c>
      <c r="X35" s="122"/>
      <c r="AA35" s="909"/>
    </row>
    <row r="36" spans="1:27" ht="12.75" customHeight="1">
      <c r="A36" s="624">
        <v>55000</v>
      </c>
      <c r="B36" s="152" t="s">
        <v>57</v>
      </c>
      <c r="C36" s="153">
        <v>86062</v>
      </c>
      <c r="D36" s="154">
        <f t="shared" si="0"/>
        <v>0.006982560555632092</v>
      </c>
      <c r="E36" s="155">
        <v>11752.15957472103</v>
      </c>
      <c r="F36" s="156">
        <f t="shared" si="1"/>
        <v>0.0032842802082105414</v>
      </c>
      <c r="G36" s="157">
        <f t="shared" si="4"/>
        <v>97814.15957472104</v>
      </c>
      <c r="H36" s="158">
        <f t="shared" si="5"/>
        <v>0.006150447570479776</v>
      </c>
      <c r="I36" s="122"/>
      <c r="J36" s="152" t="s">
        <v>57</v>
      </c>
      <c r="K36" s="153">
        <v>85297</v>
      </c>
      <c r="L36" s="154">
        <f t="shared" si="2"/>
        <v>0.006881798334433277</v>
      </c>
      <c r="M36" s="153">
        <f>4_K!BI32</f>
        <v>9741</v>
      </c>
      <c r="N36" s="156">
        <f t="shared" si="3"/>
        <v>0.0027070169012785032</v>
      </c>
      <c r="O36" s="780">
        <f t="shared" si="6"/>
        <v>95038</v>
      </c>
      <c r="P36" s="158">
        <f t="shared" si="7"/>
        <v>0.005942472603336734</v>
      </c>
      <c r="Q36" s="160"/>
      <c r="R36" s="161" t="s">
        <v>57</v>
      </c>
      <c r="S36" s="148">
        <f t="shared" si="8"/>
        <v>-0.014430554578941823</v>
      </c>
      <c r="T36" s="149">
        <f t="shared" si="9"/>
        <v>-0.17576554688875445</v>
      </c>
      <c r="U36" s="149">
        <f t="shared" si="10"/>
        <v>-0.03381460694685978</v>
      </c>
      <c r="V36" s="150">
        <f t="shared" si="11"/>
        <v>-2776.1595747210376</v>
      </c>
      <c r="W36" s="151">
        <f t="shared" si="12"/>
        <v>-0.028381980551602126</v>
      </c>
      <c r="X36" s="122"/>
      <c r="AA36" s="909"/>
    </row>
    <row r="37" spans="1:27" ht="12.75" customHeight="1" thickBot="1">
      <c r="A37" s="625">
        <v>56000</v>
      </c>
      <c r="B37" s="162" t="s">
        <v>141</v>
      </c>
      <c r="C37" s="163">
        <v>97496</v>
      </c>
      <c r="D37" s="164">
        <f t="shared" si="0"/>
        <v>0.007910247541678168</v>
      </c>
      <c r="E37" s="165">
        <v>3953.738714057832</v>
      </c>
      <c r="F37" s="166">
        <f t="shared" si="1"/>
        <v>0.001104919119286565</v>
      </c>
      <c r="G37" s="167">
        <f t="shared" si="4"/>
        <v>101449.73871405784</v>
      </c>
      <c r="H37" s="168">
        <f t="shared" si="5"/>
        <v>0.006379048817804706</v>
      </c>
      <c r="I37" s="122"/>
      <c r="J37" s="162" t="s">
        <v>141</v>
      </c>
      <c r="K37" s="163">
        <v>112301</v>
      </c>
      <c r="L37" s="164">
        <f t="shared" si="2"/>
        <v>0.00906049257013953</v>
      </c>
      <c r="M37" s="163">
        <f>4_K!BI33</f>
        <v>7261</v>
      </c>
      <c r="N37" s="166">
        <f t="shared" si="3"/>
        <v>0.0020178266831108933</v>
      </c>
      <c r="O37" s="781">
        <f t="shared" si="6"/>
        <v>119562</v>
      </c>
      <c r="P37" s="168">
        <f t="shared" si="7"/>
        <v>0.007475892899683774</v>
      </c>
      <c r="Q37" s="160"/>
      <c r="R37" s="161" t="s">
        <v>141</v>
      </c>
      <c r="S37" s="148">
        <f t="shared" si="8"/>
        <v>0.14541201427652606</v>
      </c>
      <c r="T37" s="149">
        <f t="shared" si="9"/>
        <v>0.8262211666803116</v>
      </c>
      <c r="U37" s="149">
        <f t="shared" si="10"/>
        <v>0.17194477001299036</v>
      </c>
      <c r="V37" s="150">
        <f t="shared" si="11"/>
        <v>18112.261285942164</v>
      </c>
      <c r="W37" s="151">
        <f t="shared" si="12"/>
        <v>0.17853433153724185</v>
      </c>
      <c r="X37" s="122"/>
      <c r="AA37" s="909"/>
    </row>
    <row r="38" spans="1:24" ht="12.75" customHeight="1" thickBot="1">
      <c r="A38" s="633"/>
      <c r="B38" s="169"/>
      <c r="C38" s="170">
        <f>SUM(C12:C37)</f>
        <v>12325278</v>
      </c>
      <c r="D38" s="171"/>
      <c r="E38" s="172">
        <f>SUM(E12:E37)</f>
        <v>3578306.0000000005</v>
      </c>
      <c r="F38" s="173"/>
      <c r="G38" s="174">
        <f>C38+E38</f>
        <v>15903584</v>
      </c>
      <c r="H38" s="175">
        <f>G38/G$38</f>
        <v>1</v>
      </c>
      <c r="I38" s="122"/>
      <c r="J38" s="176"/>
      <c r="K38" s="170">
        <f>SUM(K12:K37)</f>
        <v>12394580</v>
      </c>
      <c r="L38" s="171"/>
      <c r="M38" s="172">
        <f>SUM(M12:M37)</f>
        <v>3598426</v>
      </c>
      <c r="N38" s="171"/>
      <c r="O38" s="172">
        <f>SUM(O12:O37)</f>
        <v>15993006</v>
      </c>
      <c r="P38" s="175">
        <v>1</v>
      </c>
      <c r="Q38" s="122"/>
      <c r="R38" s="177"/>
      <c r="S38" s="178"/>
      <c r="T38" s="179"/>
      <c r="U38" s="179"/>
      <c r="V38" s="179">
        <f>SUM(V12:V37)</f>
        <v>89421.99999999994</v>
      </c>
      <c r="W38" s="180">
        <f t="shared" si="12"/>
        <v>0.005622757738130035</v>
      </c>
      <c r="X38" s="122"/>
    </row>
    <row r="39" spans="2:24" ht="12.7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5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2:24" ht="1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2:24" ht="1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</sheetData>
  <sheetProtection/>
  <mergeCells count="26">
    <mergeCell ref="V10:V11"/>
    <mergeCell ref="W10:W11"/>
    <mergeCell ref="A10:A11"/>
    <mergeCell ref="O10:O11"/>
    <mergeCell ref="P10:P11"/>
    <mergeCell ref="R10:R11"/>
    <mergeCell ref="S10:S11"/>
    <mergeCell ref="T10:T11"/>
    <mergeCell ref="U10:U11"/>
    <mergeCell ref="H10:H11"/>
    <mergeCell ref="B10:B11"/>
    <mergeCell ref="C10:C11"/>
    <mergeCell ref="D10:D11"/>
    <mergeCell ref="E10:E11"/>
    <mergeCell ref="F10:F11"/>
    <mergeCell ref="G10:G11"/>
    <mergeCell ref="B3:H3"/>
    <mergeCell ref="J3:P3"/>
    <mergeCell ref="B5:C5"/>
    <mergeCell ref="B6:C6"/>
    <mergeCell ref="B7:C7"/>
    <mergeCell ref="J10:J11"/>
    <mergeCell ref="K10:K11"/>
    <mergeCell ref="L10:L11"/>
    <mergeCell ref="M10:M11"/>
    <mergeCell ref="N10:N11"/>
  </mergeCells>
  <conditionalFormatting sqref="S12:U37">
    <cfRule type="cellIs" priority="3" dxfId="0" operator="lessThan" stopIfTrue="1">
      <formula>0</formula>
    </cfRule>
  </conditionalFormatting>
  <conditionalFormatting sqref="W12:W37">
    <cfRule type="cellIs" priority="1" dxfId="1" operator="greaterThan" stopIfTrue="1">
      <formula>0.05</formula>
    </cfRule>
    <cfRule type="cellIs" priority="2" dxfId="0" operator="lessThan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landscape" paperSize="9" scale="86" r:id="rId1"/>
  <colBreaks count="1" manualBreakCount="1">
    <brk id="16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P240"/>
  <sheetViews>
    <sheetView zoomScale="85" zoomScaleNormal="85" zoomScalePageLayoutView="9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14" width="15.28125" style="0" customWidth="1"/>
  </cols>
  <sheetData>
    <row r="1" spans="1:14" ht="35.25">
      <c r="A1" s="1" t="s">
        <v>0</v>
      </c>
      <c r="B1" s="2"/>
      <c r="C1" s="3"/>
      <c r="D1" s="2"/>
      <c r="E1" s="4"/>
      <c r="F1" s="783"/>
      <c r="G1" s="783"/>
      <c r="H1" s="783"/>
      <c r="I1" s="783"/>
      <c r="J1" s="783"/>
      <c r="K1" s="783"/>
      <c r="L1" s="783"/>
      <c r="M1" s="783"/>
      <c r="N1" s="783"/>
    </row>
    <row r="2" spans="1:14" ht="15.75">
      <c r="A2" s="5" t="s">
        <v>1</v>
      </c>
      <c r="B2" s="6" t="s">
        <v>447</v>
      </c>
      <c r="C2" s="784"/>
      <c r="D2" s="784"/>
      <c r="E2" s="4"/>
      <c r="F2" s="4"/>
      <c r="G2" s="4"/>
      <c r="H2" s="4"/>
      <c r="I2" s="785"/>
      <c r="J2" s="4"/>
      <c r="K2" s="4"/>
      <c r="L2" s="786"/>
      <c r="M2" s="4"/>
      <c r="N2" s="7"/>
    </row>
    <row r="3" spans="1:14" ht="12.75">
      <c r="A3" s="1099" t="s">
        <v>2</v>
      </c>
      <c r="B3" s="1099"/>
      <c r="C3" s="784"/>
      <c r="D3" s="784"/>
      <c r="E3" s="4"/>
      <c r="F3" s="4"/>
      <c r="G3" s="4"/>
      <c r="H3" s="4"/>
      <c r="I3" s="785"/>
      <c r="J3" s="4"/>
      <c r="K3" s="4"/>
      <c r="L3" s="786"/>
      <c r="M3" s="4"/>
      <c r="N3" s="7"/>
    </row>
    <row r="4" spans="1:14" ht="14.25" customHeight="1">
      <c r="A4" s="8" t="s">
        <v>3</v>
      </c>
      <c r="B4" s="4" t="s">
        <v>4</v>
      </c>
      <c r="C4" s="784"/>
      <c r="D4" s="784"/>
      <c r="E4" s="1100" t="s">
        <v>5</v>
      </c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14" ht="14.25" customHeight="1">
      <c r="A5" s="8" t="s">
        <v>6</v>
      </c>
      <c r="B5" s="4" t="s">
        <v>7</v>
      </c>
      <c r="C5" s="784"/>
      <c r="D5" s="784"/>
      <c r="E5" s="1100"/>
      <c r="F5" s="1100"/>
      <c r="G5" s="1100"/>
      <c r="H5" s="1100"/>
      <c r="I5" s="1100"/>
      <c r="J5" s="1100"/>
      <c r="K5" s="1100"/>
      <c r="L5" s="1100"/>
      <c r="M5" s="1100"/>
      <c r="N5" s="1100"/>
    </row>
    <row r="6" spans="1:14" ht="15">
      <c r="A6" s="8" t="s">
        <v>8</v>
      </c>
      <c r="B6" s="4" t="s">
        <v>9</v>
      </c>
      <c r="C6" s="784"/>
      <c r="D6" s="784"/>
      <c r="E6" s="9" t="s">
        <v>10</v>
      </c>
      <c r="F6" s="10"/>
      <c r="G6" s="10"/>
      <c r="H6" s="10"/>
      <c r="I6" s="10"/>
      <c r="J6" s="10"/>
      <c r="K6" s="10"/>
      <c r="L6" s="10"/>
      <c r="M6" s="10"/>
      <c r="N6" s="11"/>
    </row>
    <row r="7" spans="1:14" ht="15.75">
      <c r="A7" s="8" t="s">
        <v>11</v>
      </c>
      <c r="B7" s="4" t="s">
        <v>12</v>
      </c>
      <c r="C7" s="784"/>
      <c r="D7" s="784"/>
      <c r="E7" s="787"/>
      <c r="F7" s="4"/>
      <c r="G7" s="12"/>
      <c r="H7" s="12"/>
      <c r="I7" s="12"/>
      <c r="J7" s="12"/>
      <c r="K7" s="12"/>
      <c r="L7" s="12"/>
      <c r="M7" s="4"/>
      <c r="N7" s="7"/>
    </row>
    <row r="8" spans="1:14" ht="15">
      <c r="A8" s="8" t="s">
        <v>13</v>
      </c>
      <c r="B8" s="4" t="s">
        <v>14</v>
      </c>
      <c r="C8" s="784"/>
      <c r="D8" s="784"/>
      <c r="E8" s="787"/>
      <c r="F8" s="4"/>
      <c r="G8" s="4"/>
      <c r="H8" s="4"/>
      <c r="I8" s="785"/>
      <c r="J8" s="4"/>
      <c r="K8" s="4"/>
      <c r="L8" s="786"/>
      <c r="M8" s="4"/>
      <c r="N8" s="7"/>
    </row>
    <row r="9" spans="1:14" ht="13.5" thickBot="1">
      <c r="A9" s="4"/>
      <c r="B9" s="4"/>
      <c r="C9" s="784"/>
      <c r="D9" s="4"/>
      <c r="E9" s="4"/>
      <c r="F9" s="4"/>
      <c r="G9" s="4"/>
      <c r="H9" s="4"/>
      <c r="I9" s="785"/>
      <c r="J9" s="4"/>
      <c r="K9" s="4"/>
      <c r="L9" s="786"/>
      <c r="M9" s="4"/>
      <c r="N9" s="7"/>
    </row>
    <row r="10" spans="1:14" ht="102.75" thickTop="1">
      <c r="A10" s="13" t="s">
        <v>15</v>
      </c>
      <c r="B10" s="14" t="s">
        <v>16</v>
      </c>
      <c r="C10" s="913" t="s">
        <v>457</v>
      </c>
      <c r="D10" s="929" t="s">
        <v>461</v>
      </c>
      <c r="E10" s="788" t="s">
        <v>17</v>
      </c>
      <c r="F10" s="789" t="s">
        <v>18</v>
      </c>
      <c r="G10" s="790" t="s">
        <v>19</v>
      </c>
      <c r="H10" s="15" t="s">
        <v>20</v>
      </c>
      <c r="I10" s="791" t="s">
        <v>21</v>
      </c>
      <c r="J10" s="15" t="s">
        <v>22</v>
      </c>
      <c r="K10" s="792" t="s">
        <v>23</v>
      </c>
      <c r="L10" s="16" t="s">
        <v>24</v>
      </c>
      <c r="M10" s="793" t="s">
        <v>25</v>
      </c>
      <c r="N10" s="794" t="s">
        <v>26</v>
      </c>
    </row>
    <row r="11" spans="1:14" ht="12.75">
      <c r="A11" s="795">
        <v>1</v>
      </c>
      <c r="B11" s="796">
        <v>2</v>
      </c>
      <c r="C11" s="796">
        <v>3</v>
      </c>
      <c r="D11" s="797">
        <v>4</v>
      </c>
      <c r="E11" s="798">
        <v>5</v>
      </c>
      <c r="F11" s="795">
        <v>6</v>
      </c>
      <c r="G11" s="799">
        <v>7</v>
      </c>
      <c r="H11" s="795">
        <v>8</v>
      </c>
      <c r="I11" s="800">
        <v>9</v>
      </c>
      <c r="J11" s="795">
        <v>10</v>
      </c>
      <c r="K11" s="801">
        <v>11</v>
      </c>
      <c r="L11" s="798">
        <v>12</v>
      </c>
      <c r="M11" s="802">
        <v>13</v>
      </c>
      <c r="N11" s="803">
        <v>14</v>
      </c>
    </row>
    <row r="12" spans="1:14" ht="12.75">
      <c r="A12" s="804"/>
      <c r="B12" s="805"/>
      <c r="C12" s="806"/>
      <c r="D12" s="807"/>
      <c r="E12" s="808"/>
      <c r="F12" s="804"/>
      <c r="G12" s="809"/>
      <c r="H12" s="804"/>
      <c r="I12" s="17"/>
      <c r="J12" s="804"/>
      <c r="K12" s="810"/>
      <c r="L12" s="808"/>
      <c r="M12" s="811"/>
      <c r="N12" s="812"/>
    </row>
    <row r="13" spans="1:14" ht="12.75">
      <c r="A13" s="813" t="s">
        <v>27</v>
      </c>
      <c r="B13" s="18" t="s">
        <v>28</v>
      </c>
      <c r="C13" s="19">
        <v>6191</v>
      </c>
      <c r="D13" s="814">
        <v>7245</v>
      </c>
      <c r="E13" s="75">
        <f>IF(C13&gt;=0.9*D13,D13,C13+0.1*D13)</f>
        <v>6915.5</v>
      </c>
      <c r="F13" s="17"/>
      <c r="G13" s="20">
        <f>E13+F13</f>
        <v>6915.5</v>
      </c>
      <c r="H13" s="21">
        <v>1.4969778711032145</v>
      </c>
      <c r="I13" s="17">
        <f>E13*H13</f>
        <v>10352.35046761428</v>
      </c>
      <c r="J13" s="22"/>
      <c r="K13" s="23">
        <f>SUM(I13:J13)</f>
        <v>10352.35046761428</v>
      </c>
      <c r="L13" s="75"/>
      <c r="M13" s="815">
        <f>IF(D13&gt;C13,C13-D13,0)</f>
        <v>-1054</v>
      </c>
      <c r="N13" s="24">
        <f>IF(D13&lt;C13,C13-D13,0)</f>
        <v>0</v>
      </c>
    </row>
    <row r="14" spans="1:14" ht="12.75">
      <c r="A14" s="813" t="s">
        <v>27</v>
      </c>
      <c r="B14" s="18" t="s">
        <v>29</v>
      </c>
      <c r="C14" s="19">
        <v>2414</v>
      </c>
      <c r="D14" s="814">
        <v>2325</v>
      </c>
      <c r="E14" s="75">
        <f>IF(C14&gt;=0.9*D14,D14,C14+0.1*D14)</f>
        <v>2325</v>
      </c>
      <c r="F14" s="22">
        <f>M228</f>
        <v>138</v>
      </c>
      <c r="G14" s="20">
        <f>E14+F14</f>
        <v>2463</v>
      </c>
      <c r="H14" s="21">
        <v>2.1173363711681854</v>
      </c>
      <c r="I14" s="17">
        <f>E14*H14</f>
        <v>4922.8070629660315</v>
      </c>
      <c r="J14" s="22">
        <f>N228</f>
        <v>483</v>
      </c>
      <c r="K14" s="23">
        <f>SUM(I14:J14)</f>
        <v>5405.8070629660315</v>
      </c>
      <c r="L14" s="75"/>
      <c r="M14" s="815">
        <f>IF(D14&gt;C14,C14-D14,0)</f>
        <v>0</v>
      </c>
      <c r="N14" s="24">
        <f>IF(D14&lt;C14,C14-D14,0)</f>
        <v>89</v>
      </c>
    </row>
    <row r="15" spans="1:14" ht="12.75">
      <c r="A15" s="813" t="s">
        <v>27</v>
      </c>
      <c r="B15" s="18" t="s">
        <v>30</v>
      </c>
      <c r="C15" s="19">
        <v>3495.5</v>
      </c>
      <c r="D15" s="814">
        <v>3557</v>
      </c>
      <c r="E15" s="75">
        <f>IF(C15&gt;=0.9*D15,D15,C15+0.1*D15)</f>
        <v>3557</v>
      </c>
      <c r="F15" s="22"/>
      <c r="G15" s="20">
        <f>E15+F15</f>
        <v>3557</v>
      </c>
      <c r="H15" s="21">
        <v>1.4264282649120297</v>
      </c>
      <c r="I15" s="17">
        <f>E15*H15</f>
        <v>5073.80533829209</v>
      </c>
      <c r="J15" s="22"/>
      <c r="K15" s="23">
        <f>SUM(I15:J15)</f>
        <v>5073.80533829209</v>
      </c>
      <c r="L15" s="75"/>
      <c r="M15" s="815">
        <f>IF(D15&gt;C15,C15-D15,0)</f>
        <v>-61.5</v>
      </c>
      <c r="N15" s="24">
        <f>IF(D15&lt;C15,C15-D15,0)</f>
        <v>0</v>
      </c>
    </row>
    <row r="16" spans="1:14" ht="12.75">
      <c r="A16" s="25" t="s">
        <v>27</v>
      </c>
      <c r="B16" s="26" t="s">
        <v>31</v>
      </c>
      <c r="C16" s="27">
        <v>1265</v>
      </c>
      <c r="D16" s="816">
        <v>1500</v>
      </c>
      <c r="E16" s="75">
        <f>IF(C16&gt;=0.9*D16,D16,C16+0.1*D16)</f>
        <v>1415</v>
      </c>
      <c r="F16" s="28">
        <f>M229</f>
        <v>3</v>
      </c>
      <c r="G16" s="20">
        <f>E16+F16</f>
        <v>1418</v>
      </c>
      <c r="H16" s="29">
        <v>1.8034387351778656</v>
      </c>
      <c r="I16" s="17">
        <f>E16*H16</f>
        <v>2551.86581027668</v>
      </c>
      <c r="J16" s="28">
        <f>N229</f>
        <v>8.4</v>
      </c>
      <c r="K16" s="23">
        <f>SUM(I16:J16)</f>
        <v>2560.26581027668</v>
      </c>
      <c r="L16" s="80"/>
      <c r="M16" s="815">
        <f>IF(D16&gt;C16,C16-D16,0)</f>
        <v>-235</v>
      </c>
      <c r="N16" s="24">
        <f>IF(D16&lt;C16,C16-D16,0)</f>
        <v>0</v>
      </c>
    </row>
    <row r="17" spans="1:14" ht="13.5" thickBot="1">
      <c r="A17" s="817" t="s">
        <v>27</v>
      </c>
      <c r="B17" s="30" t="s">
        <v>32</v>
      </c>
      <c r="C17" s="19">
        <v>27807</v>
      </c>
      <c r="D17" s="814">
        <v>27467</v>
      </c>
      <c r="E17" s="75">
        <f>IF(C17&lt;D17,C17,D17)</f>
        <v>27467</v>
      </c>
      <c r="F17" s="28">
        <f>M230</f>
        <v>636.5</v>
      </c>
      <c r="G17" s="20">
        <f>E17+F17</f>
        <v>28103.5</v>
      </c>
      <c r="H17" s="21">
        <v>1.7089186176142699</v>
      </c>
      <c r="I17" s="17">
        <f>E17*H17</f>
        <v>46938.867670011154</v>
      </c>
      <c r="J17" s="28">
        <f>N230</f>
        <v>2222.85</v>
      </c>
      <c r="K17" s="23">
        <f>SUM(I17:J17)</f>
        <v>49161.71767001115</v>
      </c>
      <c r="L17" s="80"/>
      <c r="M17" s="815">
        <f>IF(D17&gt;C17,C17-D17,0)</f>
        <v>0</v>
      </c>
      <c r="N17" s="24">
        <f>IF(D17&lt;C17,C17-D17,0)</f>
        <v>340</v>
      </c>
    </row>
    <row r="18" spans="1:14" ht="13.5" thickBot="1">
      <c r="A18" s="31" t="s">
        <v>27</v>
      </c>
      <c r="B18" s="32" t="s">
        <v>33</v>
      </c>
      <c r="C18" s="818">
        <v>41172.5</v>
      </c>
      <c r="D18" s="819">
        <f>SUM(D13:D17)</f>
        <v>42094</v>
      </c>
      <c r="E18" s="819">
        <f>SUM(E13:E17)</f>
        <v>41679.5</v>
      </c>
      <c r="F18" s="820">
        <f>SUM(F13:F17)</f>
        <v>777.5</v>
      </c>
      <c r="G18" s="821">
        <f>SUM(G13:G17)</f>
        <v>42457</v>
      </c>
      <c r="H18" s="820"/>
      <c r="I18" s="820">
        <f>SUM(I13:I17)</f>
        <v>69839.69634916024</v>
      </c>
      <c r="J18" s="820">
        <f>SUM(J13:J17)</f>
        <v>2714.25</v>
      </c>
      <c r="K18" s="822">
        <f>SUM(K13:K17)</f>
        <v>72553.94634916024</v>
      </c>
      <c r="L18" s="823">
        <f>ROUND(K18*$N$155/$K$150,0)</f>
        <v>1907618</v>
      </c>
      <c r="M18" s="824">
        <f>SUM(M13:M17)</f>
        <v>-1350.5</v>
      </c>
      <c r="N18" s="825">
        <f>SUM(N13:N17)</f>
        <v>429</v>
      </c>
    </row>
    <row r="19" spans="1:14" ht="12.75">
      <c r="A19" s="826" t="s">
        <v>34</v>
      </c>
      <c r="B19" s="18" t="s">
        <v>28</v>
      </c>
      <c r="C19" s="19">
        <v>3393.5</v>
      </c>
      <c r="D19" s="814">
        <v>2767</v>
      </c>
      <c r="E19" s="75">
        <f>IF(C19&gt;=0.9*D19,D19,C19+0.1*D19)</f>
        <v>2767</v>
      </c>
      <c r="F19" s="17"/>
      <c r="G19" s="20">
        <f>E19+F19</f>
        <v>2767</v>
      </c>
      <c r="H19" s="21">
        <v>1.5383615735965819</v>
      </c>
      <c r="I19" s="17">
        <f>E19*H19</f>
        <v>4256.646474141742</v>
      </c>
      <c r="J19" s="22"/>
      <c r="K19" s="23">
        <f>SUM(I19:J19)</f>
        <v>4256.646474141742</v>
      </c>
      <c r="L19" s="75"/>
      <c r="M19" s="815">
        <f>IF(D19&gt;C19,C19-D19,0)</f>
        <v>0</v>
      </c>
      <c r="N19" s="24">
        <f>IF(D19&lt;C19,C19-D19,0)</f>
        <v>626.5</v>
      </c>
    </row>
    <row r="20" spans="1:14" ht="12.75">
      <c r="A20" s="804" t="s">
        <v>34</v>
      </c>
      <c r="B20" s="18" t="s">
        <v>29</v>
      </c>
      <c r="C20" s="19">
        <v>63.5</v>
      </c>
      <c r="D20" s="814">
        <v>56</v>
      </c>
      <c r="E20" s="75">
        <f>IF(C20&gt;=0.9*D20,D20,C20+0.1*D20)</f>
        <v>56</v>
      </c>
      <c r="F20" s="17"/>
      <c r="G20" s="20">
        <f>E20+F20</f>
        <v>56</v>
      </c>
      <c r="H20" s="21">
        <v>1.2</v>
      </c>
      <c r="I20" s="17">
        <f>E20*H20</f>
        <v>67.2</v>
      </c>
      <c r="J20" s="22"/>
      <c r="K20" s="23">
        <f>SUM(I20:J20)</f>
        <v>67.2</v>
      </c>
      <c r="L20" s="75"/>
      <c r="M20" s="815">
        <f>IF(D20&gt;C20,C20-D20,0)</f>
        <v>0</v>
      </c>
      <c r="N20" s="24">
        <f>IF(D20&lt;C20,C20-D20,0)</f>
        <v>7.5</v>
      </c>
    </row>
    <row r="21" spans="1:14" ht="12.75">
      <c r="A21" s="804" t="s">
        <v>34</v>
      </c>
      <c r="B21" s="18" t="s">
        <v>30</v>
      </c>
      <c r="C21" s="19">
        <v>1132</v>
      </c>
      <c r="D21" s="814">
        <v>829</v>
      </c>
      <c r="E21" s="75">
        <f>IF(C21&gt;=0.9*D21,D21,C21+0.1*D21)</f>
        <v>829</v>
      </c>
      <c r="F21" s="17"/>
      <c r="G21" s="20">
        <f>E21+F21</f>
        <v>829</v>
      </c>
      <c r="H21" s="21">
        <v>1.5731890459363957</v>
      </c>
      <c r="I21" s="17">
        <f>E21*H21</f>
        <v>1304.173719081272</v>
      </c>
      <c r="J21" s="22"/>
      <c r="K21" s="23">
        <f>SUM(I21:J21)</f>
        <v>1304.173719081272</v>
      </c>
      <c r="L21" s="75"/>
      <c r="M21" s="815">
        <f>IF(D21&gt;C21,C21-D21,0)</f>
        <v>0</v>
      </c>
      <c r="N21" s="24">
        <f>IF(D21&lt;C21,C21-D21,0)</f>
        <v>303</v>
      </c>
    </row>
    <row r="22" spans="1:14" ht="12.75">
      <c r="A22" s="25" t="s">
        <v>35</v>
      </c>
      <c r="B22" s="26" t="s">
        <v>31</v>
      </c>
      <c r="C22" s="27">
        <v>148</v>
      </c>
      <c r="D22" s="816">
        <v>141</v>
      </c>
      <c r="E22" s="75">
        <f>IF(C22&gt;=0.9*D22,D22,C22+0.1*D22)</f>
        <v>141</v>
      </c>
      <c r="F22" s="827"/>
      <c r="G22" s="20">
        <f>E22+F22</f>
        <v>141</v>
      </c>
      <c r="H22" s="29">
        <v>1.9331756756756757</v>
      </c>
      <c r="I22" s="17">
        <f>E22*H22</f>
        <v>272.57777027027026</v>
      </c>
      <c r="J22" s="28"/>
      <c r="K22" s="23">
        <f>SUM(I22:J22)</f>
        <v>272.57777027027026</v>
      </c>
      <c r="L22" s="80"/>
      <c r="M22" s="815">
        <f>IF(D22&gt;C22,C22-D22,0)</f>
        <v>0</v>
      </c>
      <c r="N22" s="24">
        <f>IF(D22&lt;C22,C22-D22,0)</f>
        <v>7</v>
      </c>
    </row>
    <row r="23" spans="1:14" ht="13.5" thickBot="1">
      <c r="A23" s="828" t="s">
        <v>34</v>
      </c>
      <c r="B23" s="30" t="s">
        <v>32</v>
      </c>
      <c r="C23" s="19">
        <v>7229</v>
      </c>
      <c r="D23" s="814">
        <v>6493</v>
      </c>
      <c r="E23" s="75">
        <f>IF(C23&lt;D23,C23,D23)</f>
        <v>6493</v>
      </c>
      <c r="F23" s="827"/>
      <c r="G23" s="20">
        <f>E23+F23</f>
        <v>6493</v>
      </c>
      <c r="H23" s="21">
        <v>1.5340628026006362</v>
      </c>
      <c r="I23" s="17">
        <f>E23*H23</f>
        <v>9960.669777285932</v>
      </c>
      <c r="J23" s="28"/>
      <c r="K23" s="23">
        <f>SUM(I23:J23)</f>
        <v>9960.669777285932</v>
      </c>
      <c r="L23" s="80"/>
      <c r="M23" s="815">
        <f>IF(D23&gt;C23,C23-D23,0)</f>
        <v>0</v>
      </c>
      <c r="N23" s="24">
        <f>IF(D23&lt;C23,C23-D23,0)</f>
        <v>736</v>
      </c>
    </row>
    <row r="24" spans="1:14" ht="13.5" thickBot="1">
      <c r="A24" s="31" t="s">
        <v>34</v>
      </c>
      <c r="B24" s="32" t="s">
        <v>33</v>
      </c>
      <c r="C24" s="818">
        <v>11966</v>
      </c>
      <c r="D24" s="819">
        <f>SUM(D19:D23)</f>
        <v>10286</v>
      </c>
      <c r="E24" s="819">
        <f>SUM(E19:E23)</f>
        <v>10286</v>
      </c>
      <c r="F24" s="820">
        <f>SUM(F19:F23)</f>
        <v>0</v>
      </c>
      <c r="G24" s="821">
        <f>SUM(G19:G23)</f>
        <v>10286</v>
      </c>
      <c r="H24" s="820"/>
      <c r="I24" s="820">
        <f>SUM(I19:I23)</f>
        <v>15861.267740779214</v>
      </c>
      <c r="J24" s="820">
        <f>SUM(J19:J23)</f>
        <v>0</v>
      </c>
      <c r="K24" s="822">
        <f>SUM(K19:K23)</f>
        <v>15861.267740779214</v>
      </c>
      <c r="L24" s="823">
        <f>ROUND(K24*$N$155/$K$150,0)</f>
        <v>417031</v>
      </c>
      <c r="M24" s="824">
        <f>SUM(M19:M23)</f>
        <v>0</v>
      </c>
      <c r="N24" s="825">
        <f>SUM(N19:N23)</f>
        <v>1680</v>
      </c>
    </row>
    <row r="25" spans="1:14" ht="12.75">
      <c r="A25" s="826" t="s">
        <v>36</v>
      </c>
      <c r="B25" s="18" t="s">
        <v>28</v>
      </c>
      <c r="C25" s="19">
        <v>3026.5</v>
      </c>
      <c r="D25" s="814">
        <v>2655</v>
      </c>
      <c r="E25" s="75">
        <f>IF(C25&gt;=0.9*D25,D25,C25+0.1*D25)</f>
        <v>2655</v>
      </c>
      <c r="F25" s="17"/>
      <c r="G25" s="20">
        <f>E25+F25</f>
        <v>2655</v>
      </c>
      <c r="H25" s="21">
        <v>1.50482735833471</v>
      </c>
      <c r="I25" s="17">
        <f>E25*H25</f>
        <v>3995.316636378655</v>
      </c>
      <c r="J25" s="22"/>
      <c r="K25" s="23">
        <f>SUM(I25:J25)</f>
        <v>3995.316636378655</v>
      </c>
      <c r="L25" s="75"/>
      <c r="M25" s="815">
        <f>IF(D25&gt;C25,C25-D25,0)</f>
        <v>0</v>
      </c>
      <c r="N25" s="24">
        <f>IF(D25&lt;C25,C25-D25,0)</f>
        <v>371.5</v>
      </c>
    </row>
    <row r="26" spans="1:14" ht="12.75">
      <c r="A26" s="804" t="s">
        <v>36</v>
      </c>
      <c r="B26" s="18" t="s">
        <v>29</v>
      </c>
      <c r="C26" s="19">
        <v>103</v>
      </c>
      <c r="D26" s="814">
        <v>94</v>
      </c>
      <c r="E26" s="75">
        <f>IF(C26&gt;=0.9*D26,D26,C26+0.1*D26)</f>
        <v>94</v>
      </c>
      <c r="F26" s="17"/>
      <c r="G26" s="20">
        <f>E26+F26</f>
        <v>94</v>
      </c>
      <c r="H26" s="21">
        <v>1.2</v>
      </c>
      <c r="I26" s="17">
        <f>E26*H26</f>
        <v>112.8</v>
      </c>
      <c r="J26" s="22"/>
      <c r="K26" s="23">
        <f>SUM(I26:J26)</f>
        <v>112.8</v>
      </c>
      <c r="L26" s="75"/>
      <c r="M26" s="815">
        <f>IF(D26&gt;C26,C26-D26,0)</f>
        <v>0</v>
      </c>
      <c r="N26" s="24">
        <f>IF(D26&lt;C26,C26-D26,0)</f>
        <v>9</v>
      </c>
    </row>
    <row r="27" spans="1:14" ht="12.75">
      <c r="A27" s="804" t="s">
        <v>36</v>
      </c>
      <c r="B27" s="18" t="s">
        <v>30</v>
      </c>
      <c r="C27" s="19">
        <v>704</v>
      </c>
      <c r="D27" s="814">
        <v>587</v>
      </c>
      <c r="E27" s="75">
        <f>IF(C27&gt;=0.9*D27,D27,C27+0.1*D27)</f>
        <v>587</v>
      </c>
      <c r="F27" s="17"/>
      <c r="G27" s="20">
        <f>E27+F27</f>
        <v>587</v>
      </c>
      <c r="H27" s="21">
        <v>1.5221306818181817</v>
      </c>
      <c r="I27" s="17">
        <f>E27*H27</f>
        <v>893.4907102272726</v>
      </c>
      <c r="J27" s="22"/>
      <c r="K27" s="23">
        <f>SUM(I27:J27)</f>
        <v>893.4907102272726</v>
      </c>
      <c r="L27" s="75"/>
      <c r="M27" s="815">
        <f>IF(D27&gt;C27,C27-D27,0)</f>
        <v>0</v>
      </c>
      <c r="N27" s="24">
        <f>IF(D27&lt;C27,C27-D27,0)</f>
        <v>117</v>
      </c>
    </row>
    <row r="28" spans="1:14" ht="12.75">
      <c r="A28" s="25" t="s">
        <v>37</v>
      </c>
      <c r="B28" s="26" t="s">
        <v>31</v>
      </c>
      <c r="C28" s="27">
        <v>39</v>
      </c>
      <c r="D28" s="816">
        <v>38</v>
      </c>
      <c r="E28" s="75">
        <f>IF(C28&gt;=0.9*D28,D28,C28+0.1*D28)</f>
        <v>38</v>
      </c>
      <c r="F28" s="827"/>
      <c r="G28" s="20">
        <f>E28+F28</f>
        <v>38</v>
      </c>
      <c r="H28" s="29">
        <v>1.9923076923076923</v>
      </c>
      <c r="I28" s="17">
        <f>E28*H28</f>
        <v>75.70769230769231</v>
      </c>
      <c r="J28" s="28"/>
      <c r="K28" s="23">
        <f>SUM(I28:J28)</f>
        <v>75.70769230769231</v>
      </c>
      <c r="L28" s="80"/>
      <c r="M28" s="815">
        <f>IF(D28&gt;C28,C28-D28,0)</f>
        <v>0</v>
      </c>
      <c r="N28" s="24">
        <f>IF(D28&lt;C28,C28-D28,0)</f>
        <v>1</v>
      </c>
    </row>
    <row r="29" spans="1:14" ht="13.5" thickBot="1">
      <c r="A29" s="828" t="s">
        <v>36</v>
      </c>
      <c r="B29" s="30" t="s">
        <v>32</v>
      </c>
      <c r="C29" s="19">
        <v>5686.5</v>
      </c>
      <c r="D29" s="814">
        <v>5484</v>
      </c>
      <c r="E29" s="75">
        <f>IF(C29&lt;D29,C29,D29)</f>
        <v>5484</v>
      </c>
      <c r="F29" s="827"/>
      <c r="G29" s="20">
        <f>E29+F29</f>
        <v>5484</v>
      </c>
      <c r="H29" s="21">
        <v>1.4694856238459508</v>
      </c>
      <c r="I29" s="17">
        <f>E29*H29</f>
        <v>8058.659161171195</v>
      </c>
      <c r="J29" s="28"/>
      <c r="K29" s="23">
        <f>SUM(I29:J29)</f>
        <v>8058.659161171195</v>
      </c>
      <c r="L29" s="80"/>
      <c r="M29" s="815">
        <f>IF(D29&gt;C29,C29-D29,0)</f>
        <v>0</v>
      </c>
      <c r="N29" s="24">
        <f>IF(D29&lt;C29,C29-D29,0)</f>
        <v>202.5</v>
      </c>
    </row>
    <row r="30" spans="1:14" ht="13.5" thickBot="1">
      <c r="A30" s="31" t="s">
        <v>36</v>
      </c>
      <c r="B30" s="32" t="s">
        <v>33</v>
      </c>
      <c r="C30" s="818">
        <v>9559</v>
      </c>
      <c r="D30" s="819">
        <f>SUM(D25:D29)</f>
        <v>8858</v>
      </c>
      <c r="E30" s="819">
        <f>SUM(E25:E29)</f>
        <v>8858</v>
      </c>
      <c r="F30" s="820">
        <f>SUM(F25:F29)</f>
        <v>0</v>
      </c>
      <c r="G30" s="821">
        <f>SUM(G25:G29)</f>
        <v>8858</v>
      </c>
      <c r="H30" s="820"/>
      <c r="I30" s="820">
        <f>SUM(I25:I29)</f>
        <v>13135.974200084815</v>
      </c>
      <c r="J30" s="820">
        <f>SUM(J25:J29)</f>
        <v>0</v>
      </c>
      <c r="K30" s="822">
        <f>SUM(K25:K29)</f>
        <v>13135.974200084815</v>
      </c>
      <c r="L30" s="823">
        <f>ROUND(K30*$N$155/$K$150,0)</f>
        <v>345376</v>
      </c>
      <c r="M30" s="824">
        <f>SUM(M25:M29)</f>
        <v>0</v>
      </c>
      <c r="N30" s="825">
        <f>SUM(N25:N29)</f>
        <v>701</v>
      </c>
    </row>
    <row r="31" spans="1:14" ht="12.75">
      <c r="A31" s="826" t="s">
        <v>38</v>
      </c>
      <c r="B31" s="18" t="s">
        <v>28</v>
      </c>
      <c r="C31" s="19">
        <v>7613</v>
      </c>
      <c r="D31" s="814">
        <v>7707</v>
      </c>
      <c r="E31" s="75">
        <f>IF(C31&gt;=0.9*D31,D31,C31+0.1*D31)</f>
        <v>7707</v>
      </c>
      <c r="F31" s="22"/>
      <c r="G31" s="20">
        <f>E31+F31</f>
        <v>7707</v>
      </c>
      <c r="H31" s="21">
        <v>1.3706199921187443</v>
      </c>
      <c r="I31" s="17">
        <f>E31*H31</f>
        <v>10563.368279259163</v>
      </c>
      <c r="J31" s="22"/>
      <c r="K31" s="23">
        <f>SUM(I31:J31)</f>
        <v>10563.368279259163</v>
      </c>
      <c r="L31" s="75"/>
      <c r="M31" s="815">
        <f>IF(D31&gt;C31,C31-D31,0)</f>
        <v>-94</v>
      </c>
      <c r="N31" s="24">
        <f>IF(D31&lt;C31,C31-D31,0)</f>
        <v>0</v>
      </c>
    </row>
    <row r="32" spans="1:14" ht="12.75">
      <c r="A32" s="804" t="s">
        <v>38</v>
      </c>
      <c r="B32" s="18" t="s">
        <v>29</v>
      </c>
      <c r="C32" s="19">
        <v>1188.5</v>
      </c>
      <c r="D32" s="814">
        <v>1297</v>
      </c>
      <c r="E32" s="75">
        <f>IF(C32&gt;=0.9*D32,D32,C32+0.1*D32)</f>
        <v>1297</v>
      </c>
      <c r="F32" s="22">
        <f>M232</f>
        <v>72</v>
      </c>
      <c r="G32" s="20">
        <f>E32+F32</f>
        <v>1369</v>
      </c>
      <c r="H32" s="21">
        <v>1.610769877997476</v>
      </c>
      <c r="I32" s="17">
        <f>E32*H32</f>
        <v>2089.168531762726</v>
      </c>
      <c r="J32" s="22">
        <f>N232</f>
        <v>252</v>
      </c>
      <c r="K32" s="23">
        <f>SUM(I32:J32)</f>
        <v>2341.168531762726</v>
      </c>
      <c r="L32" s="75"/>
      <c r="M32" s="815">
        <f>IF(D32&gt;C32,C32-D32,0)</f>
        <v>-108.5</v>
      </c>
      <c r="N32" s="24">
        <f>IF(D32&lt;C32,C32-D32,0)</f>
        <v>0</v>
      </c>
    </row>
    <row r="33" spans="1:14" ht="12.75">
      <c r="A33" s="804" t="s">
        <v>38</v>
      </c>
      <c r="B33" s="18" t="s">
        <v>30</v>
      </c>
      <c r="C33" s="19">
        <v>4192</v>
      </c>
      <c r="D33" s="814">
        <v>3722</v>
      </c>
      <c r="E33" s="75">
        <f>IF(C33&gt;=0.9*D33,D33,C33+0.1*D33)</f>
        <v>3722</v>
      </c>
      <c r="F33" s="22"/>
      <c r="G33" s="20">
        <f>E33+F33</f>
        <v>3722</v>
      </c>
      <c r="H33" s="21">
        <v>1.3138430343511451</v>
      </c>
      <c r="I33" s="17">
        <f>E33*H33</f>
        <v>4890.123773854963</v>
      </c>
      <c r="J33" s="22"/>
      <c r="K33" s="23">
        <f>SUM(I33:J33)</f>
        <v>4890.123773854963</v>
      </c>
      <c r="L33" s="75"/>
      <c r="M33" s="815">
        <f>IF(D33&gt;C33,C33-D33,0)</f>
        <v>0</v>
      </c>
      <c r="N33" s="24">
        <f>IF(D33&lt;C33,C33-D33,0)</f>
        <v>470</v>
      </c>
    </row>
    <row r="34" spans="1:14" ht="12.75">
      <c r="A34" s="25" t="s">
        <v>38</v>
      </c>
      <c r="B34" s="26" t="s">
        <v>31</v>
      </c>
      <c r="C34" s="27">
        <v>703</v>
      </c>
      <c r="D34" s="816">
        <v>640</v>
      </c>
      <c r="E34" s="75">
        <f>IF(C34&gt;=0.9*D34,D34,C34+0.1*D34)</f>
        <v>640</v>
      </c>
      <c r="F34" s="28">
        <f>M233</f>
        <v>3</v>
      </c>
      <c r="G34" s="20">
        <f>E34+F34</f>
        <v>643</v>
      </c>
      <c r="H34" s="29">
        <v>1.7774537695590327</v>
      </c>
      <c r="I34" s="17">
        <f>E34*H34</f>
        <v>1137.5704125177808</v>
      </c>
      <c r="J34" s="28">
        <f>N233</f>
        <v>8.4</v>
      </c>
      <c r="K34" s="23">
        <f>SUM(I34:J34)</f>
        <v>1145.970412517781</v>
      </c>
      <c r="L34" s="80"/>
      <c r="M34" s="815">
        <f>IF(D34&gt;C34,C34-D34,0)</f>
        <v>0</v>
      </c>
      <c r="N34" s="24">
        <f>IF(D34&lt;C34,C34-D34,0)</f>
        <v>63</v>
      </c>
    </row>
    <row r="35" spans="1:14" ht="13.5" thickBot="1">
      <c r="A35" s="828" t="s">
        <v>38</v>
      </c>
      <c r="B35" s="30" t="s">
        <v>32</v>
      </c>
      <c r="C35" s="19">
        <v>22732.5</v>
      </c>
      <c r="D35" s="814">
        <v>22345</v>
      </c>
      <c r="E35" s="75">
        <f>IF(C35&lt;D35,C35,D35)</f>
        <v>22345</v>
      </c>
      <c r="F35" s="28">
        <f>M234</f>
        <v>294.5</v>
      </c>
      <c r="G35" s="20">
        <f>E35+F35</f>
        <v>22639.5</v>
      </c>
      <c r="H35" s="21">
        <v>1.4353040800615857</v>
      </c>
      <c r="I35" s="17">
        <f>E35*H35</f>
        <v>32071.869668976135</v>
      </c>
      <c r="J35" s="28">
        <f>N234</f>
        <v>1020.25</v>
      </c>
      <c r="K35" s="23">
        <f>SUM(I35:J35)</f>
        <v>33092.119668976135</v>
      </c>
      <c r="L35" s="80"/>
      <c r="M35" s="815">
        <f>IF(D35&gt;C35,C35-D35,0)</f>
        <v>0</v>
      </c>
      <c r="N35" s="24">
        <f>IF(D35&lt;C35,C35-D35,0)</f>
        <v>387.5</v>
      </c>
    </row>
    <row r="36" spans="1:14" ht="13.5" thickBot="1">
      <c r="A36" s="31" t="s">
        <v>38</v>
      </c>
      <c r="B36" s="32" t="s">
        <v>33</v>
      </c>
      <c r="C36" s="818">
        <v>36429</v>
      </c>
      <c r="D36" s="819">
        <f>SUM(D31:D35)</f>
        <v>35711</v>
      </c>
      <c r="E36" s="819">
        <f>SUM(E31:E35)</f>
        <v>35711</v>
      </c>
      <c r="F36" s="820">
        <f>SUM(F31:F35)</f>
        <v>369.5</v>
      </c>
      <c r="G36" s="821">
        <f>SUM(G31:G35)</f>
        <v>36080.5</v>
      </c>
      <c r="H36" s="820"/>
      <c r="I36" s="820">
        <f>SUM(I31:I35)</f>
        <v>50752.10066637077</v>
      </c>
      <c r="J36" s="820">
        <f>SUM(J31:J35)</f>
        <v>1280.65</v>
      </c>
      <c r="K36" s="822">
        <f>SUM(K31:K35)</f>
        <v>52032.75066637077</v>
      </c>
      <c r="L36" s="823">
        <f>ROUND(K36*$N$155/$K$150,0)</f>
        <v>1368066</v>
      </c>
      <c r="M36" s="824">
        <f>SUM(M31:M35)</f>
        <v>-202.5</v>
      </c>
      <c r="N36" s="825">
        <f>SUM(N31:N35)</f>
        <v>920.5</v>
      </c>
    </row>
    <row r="37" spans="1:14" ht="12.75">
      <c r="A37" s="829" t="s">
        <v>39</v>
      </c>
      <c r="B37" s="18" t="s">
        <v>28</v>
      </c>
      <c r="C37" s="19">
        <v>4306</v>
      </c>
      <c r="D37" s="814">
        <v>3785</v>
      </c>
      <c r="E37" s="75">
        <f>IF(C37&gt;=0.9*D37,D37,C37+0.1*D37)</f>
        <v>3785</v>
      </c>
      <c r="F37" s="22"/>
      <c r="G37" s="20">
        <f>E37+F37</f>
        <v>3785</v>
      </c>
      <c r="H37" s="21">
        <v>1.520387830933581</v>
      </c>
      <c r="I37" s="17">
        <f>E37*H37</f>
        <v>5754.667940083604</v>
      </c>
      <c r="J37" s="22"/>
      <c r="K37" s="23">
        <f>SUM(I37:J37)</f>
        <v>5754.667940083604</v>
      </c>
      <c r="L37" s="75"/>
      <c r="M37" s="815">
        <f>IF(D37&gt;C37,C37-D37,0)</f>
        <v>0</v>
      </c>
      <c r="N37" s="24">
        <f>IF(D37&lt;C37,C37-D37,0)</f>
        <v>521</v>
      </c>
    </row>
    <row r="38" spans="1:14" ht="12.75">
      <c r="A38" s="813" t="s">
        <v>39</v>
      </c>
      <c r="B38" s="18" t="s">
        <v>29</v>
      </c>
      <c r="C38" s="19">
        <v>695</v>
      </c>
      <c r="D38" s="814">
        <v>689</v>
      </c>
      <c r="E38" s="75">
        <f>IF(C38&gt;=0.9*D38,D38,C38+0.1*D38)</f>
        <v>689</v>
      </c>
      <c r="F38" s="22">
        <f>M236</f>
        <v>81.5</v>
      </c>
      <c r="G38" s="20">
        <f>E38+F38</f>
        <v>770.5</v>
      </c>
      <c r="H38" s="21">
        <v>1.5926618705035973</v>
      </c>
      <c r="I38" s="17">
        <f>E38*H38</f>
        <v>1097.3440287769786</v>
      </c>
      <c r="J38" s="22">
        <f>N236</f>
        <v>285.25</v>
      </c>
      <c r="K38" s="23">
        <f>SUM(I38:J38)</f>
        <v>1382.5940287769786</v>
      </c>
      <c r="L38" s="75"/>
      <c r="M38" s="815">
        <f>IF(D38&gt;C38,C38-D38,0)</f>
        <v>0</v>
      </c>
      <c r="N38" s="24">
        <f>IF(D38&lt;C38,C38-D38,0)</f>
        <v>6</v>
      </c>
    </row>
    <row r="39" spans="1:14" ht="12.75">
      <c r="A39" s="813" t="s">
        <v>39</v>
      </c>
      <c r="B39" s="18" t="s">
        <v>30</v>
      </c>
      <c r="C39" s="19">
        <v>1894.5</v>
      </c>
      <c r="D39" s="814">
        <v>1682</v>
      </c>
      <c r="E39" s="75">
        <f>IF(C39&gt;=0.9*D39,D39,C39+0.1*D39)</f>
        <v>1682</v>
      </c>
      <c r="F39" s="22"/>
      <c r="G39" s="20">
        <f>E39+F39</f>
        <v>1682</v>
      </c>
      <c r="H39" s="21">
        <v>1.4549221430456585</v>
      </c>
      <c r="I39" s="17">
        <f>E39*H39</f>
        <v>2447.1790446027976</v>
      </c>
      <c r="J39" s="22"/>
      <c r="K39" s="23">
        <f>SUM(I39:J39)</f>
        <v>2447.1790446027976</v>
      </c>
      <c r="L39" s="75"/>
      <c r="M39" s="815">
        <f>IF(D39&gt;C39,C39-D39,0)</f>
        <v>0</v>
      </c>
      <c r="N39" s="24">
        <f>IF(D39&lt;C39,C39-D39,0)</f>
        <v>212.5</v>
      </c>
    </row>
    <row r="40" spans="1:14" ht="12.75">
      <c r="A40" s="25" t="s">
        <v>39</v>
      </c>
      <c r="B40" s="26" t="s">
        <v>31</v>
      </c>
      <c r="C40" s="27">
        <v>334</v>
      </c>
      <c r="D40" s="816">
        <v>331</v>
      </c>
      <c r="E40" s="75">
        <f>IF(C40&gt;=0.9*D40,D40,C40+0.1*D40)</f>
        <v>331</v>
      </c>
      <c r="F40" s="28">
        <f>M237</f>
        <v>9</v>
      </c>
      <c r="G40" s="20">
        <f>E40+F40</f>
        <v>340</v>
      </c>
      <c r="H40" s="29">
        <v>1.808622754491018</v>
      </c>
      <c r="I40" s="17">
        <f>E40*H40</f>
        <v>598.654131736527</v>
      </c>
      <c r="J40" s="28">
        <f>N237</f>
        <v>25.2</v>
      </c>
      <c r="K40" s="23">
        <f>SUM(I40:J40)</f>
        <v>623.854131736527</v>
      </c>
      <c r="L40" s="80"/>
      <c r="M40" s="815">
        <f>IF(D40&gt;C40,C40-D40,0)</f>
        <v>0</v>
      </c>
      <c r="N40" s="24">
        <f>IF(D40&lt;C40,C40-D40,0)</f>
        <v>3</v>
      </c>
    </row>
    <row r="41" spans="1:14" ht="13.5" thickBot="1">
      <c r="A41" s="817" t="s">
        <v>39</v>
      </c>
      <c r="B41" s="30" t="s">
        <v>32</v>
      </c>
      <c r="C41" s="19">
        <v>12655.5</v>
      </c>
      <c r="D41" s="814">
        <v>12169</v>
      </c>
      <c r="E41" s="75">
        <f>IF(C41&lt;D41,C41,D41)</f>
        <v>12169</v>
      </c>
      <c r="F41" s="28">
        <f>M238</f>
        <v>359</v>
      </c>
      <c r="G41" s="20">
        <f>E41+F41</f>
        <v>12528</v>
      </c>
      <c r="H41" s="21">
        <v>1.4871099521946978</v>
      </c>
      <c r="I41" s="17">
        <f>E41*H41</f>
        <v>18096.641008257277</v>
      </c>
      <c r="J41" s="28">
        <f>N238</f>
        <v>1239</v>
      </c>
      <c r="K41" s="23">
        <f>SUM(I41:J41)</f>
        <v>19335.641008257277</v>
      </c>
      <c r="L41" s="80"/>
      <c r="M41" s="815">
        <f>IF(D41&gt;C41,C41-D41,0)</f>
        <v>0</v>
      </c>
      <c r="N41" s="24">
        <f>IF(D41&lt;C41,C41-D41,0)</f>
        <v>486.5</v>
      </c>
    </row>
    <row r="42" spans="1:14" ht="13.5" thickBot="1">
      <c r="A42" s="31" t="s">
        <v>39</v>
      </c>
      <c r="B42" s="32" t="s">
        <v>33</v>
      </c>
      <c r="C42" s="818">
        <v>19885</v>
      </c>
      <c r="D42" s="819">
        <f>SUM(D37:D41)</f>
        <v>18656</v>
      </c>
      <c r="E42" s="819">
        <f>SUM(E37:E41)</f>
        <v>18656</v>
      </c>
      <c r="F42" s="820">
        <f>SUM(F37:F41)</f>
        <v>449.5</v>
      </c>
      <c r="G42" s="821">
        <f>SUM(G37:G41)</f>
        <v>19105.5</v>
      </c>
      <c r="H42" s="820"/>
      <c r="I42" s="820">
        <f>SUM(I37:I41)</f>
        <v>27994.486153457183</v>
      </c>
      <c r="J42" s="820">
        <f>SUM(J37:J41)</f>
        <v>1549.45</v>
      </c>
      <c r="K42" s="822">
        <f>SUM(K37:K41)</f>
        <v>29543.936153457184</v>
      </c>
      <c r="L42" s="823">
        <f>ROUND(K42*$N$155/$K$150,0)</f>
        <v>776781</v>
      </c>
      <c r="M42" s="824">
        <f>SUM(M37:M41)</f>
        <v>0</v>
      </c>
      <c r="N42" s="825">
        <f>SUM(N37:N41)</f>
        <v>1229</v>
      </c>
    </row>
    <row r="43" spans="1:14" ht="12.75">
      <c r="A43" s="826" t="s">
        <v>40</v>
      </c>
      <c r="B43" s="18" t="s">
        <v>28</v>
      </c>
      <c r="C43" s="19">
        <v>167</v>
      </c>
      <c r="D43" s="814">
        <v>131</v>
      </c>
      <c r="E43" s="75">
        <f>IF(C43&gt;=0.9*D43,D43,C43+0.1*D43)</f>
        <v>131</v>
      </c>
      <c r="F43" s="17"/>
      <c r="G43" s="20">
        <f>E43+F43</f>
        <v>131</v>
      </c>
      <c r="H43" s="21">
        <v>3.5</v>
      </c>
      <c r="I43" s="17">
        <f>E43*H43</f>
        <v>458.5</v>
      </c>
      <c r="J43" s="22"/>
      <c r="K43" s="23">
        <f>SUM(I43:J43)</f>
        <v>458.5</v>
      </c>
      <c r="L43" s="75"/>
      <c r="M43" s="815">
        <f>IF(D43&gt;C43,C43-D43,0)</f>
        <v>0</v>
      </c>
      <c r="N43" s="24">
        <f>IF(D43&lt;C43,C43-D43,0)</f>
        <v>36</v>
      </c>
    </row>
    <row r="44" spans="1:14" ht="12.75">
      <c r="A44" s="804" t="s">
        <v>40</v>
      </c>
      <c r="B44" s="18" t="s">
        <v>29</v>
      </c>
      <c r="C44" s="19">
        <v>405.5</v>
      </c>
      <c r="D44" s="816">
        <v>405</v>
      </c>
      <c r="E44" s="75">
        <f>IF(C44&gt;=0.9*D44,D44,C44+0.1*D44)</f>
        <v>405</v>
      </c>
      <c r="F44" s="17"/>
      <c r="G44" s="20">
        <f>E44+F44</f>
        <v>405</v>
      </c>
      <c r="H44" s="21">
        <v>3.0422441430332925</v>
      </c>
      <c r="I44" s="17">
        <f>E44*H44</f>
        <v>1232.1088779284835</v>
      </c>
      <c r="J44" s="22"/>
      <c r="K44" s="23">
        <f>SUM(I44:J44)</f>
        <v>1232.1088779284835</v>
      </c>
      <c r="L44" s="75"/>
      <c r="M44" s="815">
        <f>IF(D44&gt;C44,C44-D44,0)</f>
        <v>0</v>
      </c>
      <c r="N44" s="24">
        <f>IF(D44&lt;C44,C44-D44,0)</f>
        <v>0.5</v>
      </c>
    </row>
    <row r="45" spans="1:14" ht="12.75">
      <c r="A45" s="804" t="s">
        <v>40</v>
      </c>
      <c r="B45" s="18" t="s">
        <v>30</v>
      </c>
      <c r="C45" s="19">
        <v>51</v>
      </c>
      <c r="D45" s="816">
        <v>51</v>
      </c>
      <c r="E45" s="75">
        <f>IF(C45&gt;=0.9*D45,D45,C45+0.1*D45)</f>
        <v>51</v>
      </c>
      <c r="F45" s="17"/>
      <c r="G45" s="20">
        <f>E45+F45</f>
        <v>51</v>
      </c>
      <c r="H45" s="21">
        <v>3.5</v>
      </c>
      <c r="I45" s="17">
        <f>E45*H45</f>
        <v>178.5</v>
      </c>
      <c r="J45" s="22"/>
      <c r="K45" s="23">
        <f>SUM(I45:J45)</f>
        <v>178.5</v>
      </c>
      <c r="L45" s="75"/>
      <c r="M45" s="815">
        <f>IF(D45&gt;C45,C45-D45,0)</f>
        <v>0</v>
      </c>
      <c r="N45" s="24">
        <f>IF(D45&lt;C45,C45-D45,0)</f>
        <v>0</v>
      </c>
    </row>
    <row r="46" spans="1:14" ht="12.75">
      <c r="A46" s="25" t="s">
        <v>40</v>
      </c>
      <c r="B46" s="26" t="s">
        <v>31</v>
      </c>
      <c r="C46" s="27">
        <v>63.5</v>
      </c>
      <c r="D46" s="816">
        <v>63</v>
      </c>
      <c r="E46" s="75">
        <f>IF(C46&gt;=0.9*D46,D46,C46+0.1*D46)</f>
        <v>63</v>
      </c>
      <c r="F46" s="827"/>
      <c r="G46" s="20">
        <f>E46+F46</f>
        <v>63</v>
      </c>
      <c r="H46" s="29">
        <v>3.145669291338583</v>
      </c>
      <c r="I46" s="17">
        <f>E46*H46</f>
        <v>198.17716535433073</v>
      </c>
      <c r="J46" s="28"/>
      <c r="K46" s="23">
        <f>SUM(I46:J46)</f>
        <v>198.17716535433073</v>
      </c>
      <c r="L46" s="80"/>
      <c r="M46" s="815">
        <f>IF(D46&gt;C46,C46-D46,0)</f>
        <v>0</v>
      </c>
      <c r="N46" s="24">
        <f>IF(D46&lt;C46,C46-D46,0)</f>
        <v>0.5</v>
      </c>
    </row>
    <row r="47" spans="1:14" ht="13.5" thickBot="1">
      <c r="A47" s="828" t="s">
        <v>40</v>
      </c>
      <c r="B47" s="30" t="s">
        <v>32</v>
      </c>
      <c r="C47" s="19">
        <v>1966</v>
      </c>
      <c r="D47" s="814">
        <v>1935</v>
      </c>
      <c r="E47" s="75">
        <f>IF(C47&lt;D47,C47,D47)</f>
        <v>1935</v>
      </c>
      <c r="F47" s="827"/>
      <c r="G47" s="20">
        <f>E47+F47</f>
        <v>1935</v>
      </c>
      <c r="H47" s="21">
        <v>3.1070752797558496</v>
      </c>
      <c r="I47" s="17">
        <f>E47*H47</f>
        <v>6012.190666327569</v>
      </c>
      <c r="J47" s="28"/>
      <c r="K47" s="23">
        <f>SUM(I47:J47)</f>
        <v>6012.190666327569</v>
      </c>
      <c r="L47" s="80"/>
      <c r="M47" s="815">
        <f>IF(D47&gt;C47,C47-D47,0)</f>
        <v>0</v>
      </c>
      <c r="N47" s="24">
        <f>IF(D47&lt;C47,C47-D47,0)</f>
        <v>31</v>
      </c>
    </row>
    <row r="48" spans="1:14" ht="13.5" thickBot="1">
      <c r="A48" s="31" t="s">
        <v>40</v>
      </c>
      <c r="B48" s="32" t="s">
        <v>33</v>
      </c>
      <c r="C48" s="818">
        <v>2653</v>
      </c>
      <c r="D48" s="819">
        <f>SUM(D43:D47)</f>
        <v>2585</v>
      </c>
      <c r="E48" s="819">
        <f>SUM(E43:E47)</f>
        <v>2585</v>
      </c>
      <c r="F48" s="820">
        <f>SUM(F43:F47)</f>
        <v>0</v>
      </c>
      <c r="G48" s="821">
        <f>SUM(G43:G47)</f>
        <v>2585</v>
      </c>
      <c r="H48" s="820"/>
      <c r="I48" s="820">
        <f>SUM(I43:I47)</f>
        <v>8079.476709610382</v>
      </c>
      <c r="J48" s="820">
        <f>SUM(J43:J47)</f>
        <v>0</v>
      </c>
      <c r="K48" s="822">
        <f>SUM(K43:K47)</f>
        <v>8079.476709610382</v>
      </c>
      <c r="L48" s="823">
        <f>ROUND(K48*$N$155/$K$150,0)</f>
        <v>212429</v>
      </c>
      <c r="M48" s="824">
        <f>SUM(M43:M47)</f>
        <v>0</v>
      </c>
      <c r="N48" s="825">
        <f>SUM(N43:N47)</f>
        <v>68</v>
      </c>
    </row>
    <row r="49" spans="1:14" ht="12.75">
      <c r="A49" s="826" t="s">
        <v>41</v>
      </c>
      <c r="B49" s="18" t="s">
        <v>28</v>
      </c>
      <c r="C49" s="19">
        <v>2691.5</v>
      </c>
      <c r="D49" s="814">
        <v>2277</v>
      </c>
      <c r="E49" s="75">
        <f>IF(C49&gt;=0.9*D49,D49,C49+0.1*D49)</f>
        <v>2277</v>
      </c>
      <c r="F49" s="17"/>
      <c r="G49" s="20">
        <f>E49+F49</f>
        <v>2277</v>
      </c>
      <c r="H49" s="21">
        <v>1.5780494148244473</v>
      </c>
      <c r="I49" s="17">
        <f>E49*H49</f>
        <v>3593.2185175552663</v>
      </c>
      <c r="J49" s="22"/>
      <c r="K49" s="23">
        <f>SUM(I49:J49)</f>
        <v>3593.2185175552663</v>
      </c>
      <c r="L49" s="75"/>
      <c r="M49" s="815">
        <f>IF(D49&gt;C49,C49-D49,0)</f>
        <v>0</v>
      </c>
      <c r="N49" s="24">
        <f>IF(D49&lt;C49,C49-D49,0)</f>
        <v>414.5</v>
      </c>
    </row>
    <row r="50" spans="1:14" ht="12.75">
      <c r="A50" s="804" t="s">
        <v>41</v>
      </c>
      <c r="B50" s="18" t="s">
        <v>29</v>
      </c>
      <c r="C50" s="19">
        <v>232.5</v>
      </c>
      <c r="D50" s="814">
        <v>186</v>
      </c>
      <c r="E50" s="75">
        <f>IF(C50&gt;=0.9*D50,D50,C50+0.1*D50)</f>
        <v>186</v>
      </c>
      <c r="F50" s="17"/>
      <c r="G50" s="20">
        <f>E50+F50</f>
        <v>186</v>
      </c>
      <c r="H50" s="21">
        <v>1.929462365591398</v>
      </c>
      <c r="I50" s="17">
        <f>E50*H50</f>
        <v>358.88000000000005</v>
      </c>
      <c r="J50" s="22"/>
      <c r="K50" s="23">
        <f>SUM(I50:J50)</f>
        <v>358.88000000000005</v>
      </c>
      <c r="L50" s="75"/>
      <c r="M50" s="815">
        <f>IF(D50&gt;C50,C50-D50,0)</f>
        <v>0</v>
      </c>
      <c r="N50" s="24">
        <f>IF(D50&lt;C50,C50-D50,0)</f>
        <v>46.5</v>
      </c>
    </row>
    <row r="51" spans="1:14" ht="12.75">
      <c r="A51" s="804" t="s">
        <v>41</v>
      </c>
      <c r="B51" s="18" t="s">
        <v>30</v>
      </c>
      <c r="C51" s="19">
        <v>1097</v>
      </c>
      <c r="D51" s="814">
        <v>790</v>
      </c>
      <c r="E51" s="75">
        <f>IF(C51&gt;=0.9*D51,D51,C51+0.1*D51)</f>
        <v>790</v>
      </c>
      <c r="F51" s="17"/>
      <c r="G51" s="20">
        <f>E51+F51</f>
        <v>790</v>
      </c>
      <c r="H51" s="21">
        <v>1.6084867821330902</v>
      </c>
      <c r="I51" s="17">
        <f>E51*H51</f>
        <v>1270.7045578851412</v>
      </c>
      <c r="J51" s="22"/>
      <c r="K51" s="23">
        <f>SUM(I51:J51)</f>
        <v>1270.7045578851412</v>
      </c>
      <c r="L51" s="75"/>
      <c r="M51" s="815">
        <f>IF(D51&gt;C51,C51-D51,0)</f>
        <v>0</v>
      </c>
      <c r="N51" s="24">
        <f>IF(D51&lt;C51,C51-D51,0)</f>
        <v>307</v>
      </c>
    </row>
    <row r="52" spans="1:14" ht="12.75">
      <c r="A52" s="25" t="s">
        <v>41</v>
      </c>
      <c r="B52" s="26" t="s">
        <v>31</v>
      </c>
      <c r="C52" s="27">
        <v>106</v>
      </c>
      <c r="D52" s="816">
        <v>68</v>
      </c>
      <c r="E52" s="75">
        <f>IF(C52&gt;=0.9*D52,D52,C52+0.1*D52)</f>
        <v>68</v>
      </c>
      <c r="F52" s="827"/>
      <c r="G52" s="20">
        <f>E52+F52</f>
        <v>68</v>
      </c>
      <c r="H52" s="29">
        <v>1.7089622641509434</v>
      </c>
      <c r="I52" s="17">
        <f>E52*H52</f>
        <v>116.20943396226416</v>
      </c>
      <c r="J52" s="28"/>
      <c r="K52" s="23">
        <f>SUM(I52:J52)</f>
        <v>116.20943396226416</v>
      </c>
      <c r="L52" s="80"/>
      <c r="M52" s="815">
        <f>IF(D52&gt;C52,C52-D52,0)</f>
        <v>0</v>
      </c>
      <c r="N52" s="24">
        <f>IF(D52&lt;C52,C52-D52,0)</f>
        <v>38</v>
      </c>
    </row>
    <row r="53" spans="1:14" ht="13.5" thickBot="1">
      <c r="A53" s="828" t="s">
        <v>41</v>
      </c>
      <c r="B53" s="30" t="s">
        <v>32</v>
      </c>
      <c r="C53" s="19">
        <v>5837</v>
      </c>
      <c r="D53" s="814">
        <v>4981</v>
      </c>
      <c r="E53" s="75">
        <f>IF(C53&lt;D53,C53,D53)</f>
        <v>4981</v>
      </c>
      <c r="F53" s="827"/>
      <c r="G53" s="20">
        <f>E53+F53</f>
        <v>4981</v>
      </c>
      <c r="H53" s="21">
        <v>1.6145639883501797</v>
      </c>
      <c r="I53" s="17">
        <f>E53*H53</f>
        <v>8042.143225972245</v>
      </c>
      <c r="J53" s="28"/>
      <c r="K53" s="23">
        <f>SUM(I53:J53)</f>
        <v>8042.143225972245</v>
      </c>
      <c r="L53" s="80"/>
      <c r="M53" s="815">
        <f>IF(D53&gt;C53,C53-D53,0)</f>
        <v>0</v>
      </c>
      <c r="N53" s="24">
        <f>IF(D53&lt;C53,C53-D53,0)</f>
        <v>856</v>
      </c>
    </row>
    <row r="54" spans="1:14" ht="13.5" thickBot="1">
      <c r="A54" s="31" t="s">
        <v>41</v>
      </c>
      <c r="B54" s="32" t="s">
        <v>33</v>
      </c>
      <c r="C54" s="818">
        <v>9964</v>
      </c>
      <c r="D54" s="819">
        <f>SUM(D49:D53)</f>
        <v>8302</v>
      </c>
      <c r="E54" s="819">
        <f>SUM(E49:E53)</f>
        <v>8302</v>
      </c>
      <c r="F54" s="820">
        <f>SUM(F49:F53)</f>
        <v>0</v>
      </c>
      <c r="G54" s="821">
        <f>SUM(G49:G53)</f>
        <v>8302</v>
      </c>
      <c r="H54" s="820"/>
      <c r="I54" s="820">
        <f>SUM(I49:I53)</f>
        <v>13381.155735374918</v>
      </c>
      <c r="J54" s="820">
        <f>SUM(J49:J53)</f>
        <v>0</v>
      </c>
      <c r="K54" s="822">
        <f>SUM(K49:K53)</f>
        <v>13381.155735374918</v>
      </c>
      <c r="L54" s="823">
        <f>ROUND(K54*$N$155/$K$150,0)</f>
        <v>351823</v>
      </c>
      <c r="M54" s="824">
        <f>SUM(M49:M53)</f>
        <v>0</v>
      </c>
      <c r="N54" s="825">
        <f>SUM(N49:N53)</f>
        <v>1662</v>
      </c>
    </row>
    <row r="55" spans="1:14" ht="12.75">
      <c r="A55" s="830" t="s">
        <v>42</v>
      </c>
      <c r="B55" s="18" t="s">
        <v>28</v>
      </c>
      <c r="C55" s="19">
        <v>2327</v>
      </c>
      <c r="D55" s="814">
        <v>1774</v>
      </c>
      <c r="E55" s="75">
        <f>IF(C55&gt;=0.9*D55,D55,C55+0.1*D55)</f>
        <v>1774</v>
      </c>
      <c r="F55" s="17"/>
      <c r="G55" s="20">
        <f>E55+F55</f>
        <v>1774</v>
      </c>
      <c r="H55" s="21">
        <v>1.3187924366136656</v>
      </c>
      <c r="I55" s="17">
        <f>E55*H55</f>
        <v>2339.537782552643</v>
      </c>
      <c r="J55" s="22"/>
      <c r="K55" s="23">
        <f>SUM(I55:J55)</f>
        <v>2339.537782552643</v>
      </c>
      <c r="L55" s="75"/>
      <c r="M55" s="815">
        <f>IF(D55&gt;C55,C55-D55,0)</f>
        <v>0</v>
      </c>
      <c r="N55" s="24">
        <f>IF(D55&lt;C55,C55-D55,0)</f>
        <v>553</v>
      </c>
    </row>
    <row r="56" spans="1:14" ht="12.75">
      <c r="A56" s="813" t="s">
        <v>42</v>
      </c>
      <c r="B56" s="18" t="s">
        <v>29</v>
      </c>
      <c r="C56" s="19">
        <v>89</v>
      </c>
      <c r="D56" s="814">
        <v>75</v>
      </c>
      <c r="E56" s="75">
        <f>IF(C56&gt;=0.9*D56,D56,C56+0.1*D56)</f>
        <v>75</v>
      </c>
      <c r="F56" s="17"/>
      <c r="G56" s="20">
        <f>E56+F56</f>
        <v>75</v>
      </c>
      <c r="H56" s="21">
        <v>1.2</v>
      </c>
      <c r="I56" s="17">
        <f>E56*H56</f>
        <v>90</v>
      </c>
      <c r="J56" s="22"/>
      <c r="K56" s="23">
        <f>SUM(I56:J56)</f>
        <v>90</v>
      </c>
      <c r="L56" s="75"/>
      <c r="M56" s="815">
        <f>IF(D56&gt;C56,C56-D56,0)</f>
        <v>0</v>
      </c>
      <c r="N56" s="24">
        <f>IF(D56&lt;C56,C56-D56,0)</f>
        <v>14</v>
      </c>
    </row>
    <row r="57" spans="1:14" ht="12.75">
      <c r="A57" s="813" t="s">
        <v>42</v>
      </c>
      <c r="B57" s="18" t="s">
        <v>30</v>
      </c>
      <c r="C57" s="19">
        <v>664</v>
      </c>
      <c r="D57" s="814">
        <v>549</v>
      </c>
      <c r="E57" s="75">
        <f>IF(C57&gt;=0.9*D57,D57,C57+0.1*D57)</f>
        <v>549</v>
      </c>
      <c r="F57" s="17"/>
      <c r="G57" s="20">
        <f>E57+F57</f>
        <v>549</v>
      </c>
      <c r="H57" s="21">
        <v>1.320105421686747</v>
      </c>
      <c r="I57" s="17">
        <f>E57*H57</f>
        <v>724.7378765060241</v>
      </c>
      <c r="J57" s="22"/>
      <c r="K57" s="23">
        <f>SUM(I57:J57)</f>
        <v>724.7378765060241</v>
      </c>
      <c r="L57" s="75"/>
      <c r="M57" s="815">
        <f>IF(D57&gt;C57,C57-D57,0)</f>
        <v>0</v>
      </c>
      <c r="N57" s="24">
        <f>IF(D57&lt;C57,C57-D57,0)</f>
        <v>115</v>
      </c>
    </row>
    <row r="58" spans="1:14" ht="12.75">
      <c r="A58" s="33" t="s">
        <v>43</v>
      </c>
      <c r="B58" s="26" t="s">
        <v>31</v>
      </c>
      <c r="C58" s="27">
        <v>47</v>
      </c>
      <c r="D58" s="816">
        <v>35</v>
      </c>
      <c r="E58" s="75">
        <f>IF(C58&gt;=0.9*D58,D58,C58+0.1*D58)</f>
        <v>35</v>
      </c>
      <c r="F58" s="827"/>
      <c r="G58" s="20">
        <f>E58+F58</f>
        <v>35</v>
      </c>
      <c r="H58" s="29">
        <v>1.4085106382978725</v>
      </c>
      <c r="I58" s="17">
        <f>E58*H58</f>
        <v>49.297872340425535</v>
      </c>
      <c r="J58" s="28"/>
      <c r="K58" s="23">
        <f>SUM(I58:J58)</f>
        <v>49.297872340425535</v>
      </c>
      <c r="L58" s="80"/>
      <c r="M58" s="815">
        <f>IF(D58&gt;C58,C58-D58,0)</f>
        <v>0</v>
      </c>
      <c r="N58" s="24">
        <f>IF(D58&lt;C58,C58-D58,0)</f>
        <v>12</v>
      </c>
    </row>
    <row r="59" spans="1:14" ht="13.5" thickBot="1">
      <c r="A59" s="817" t="s">
        <v>42</v>
      </c>
      <c r="B59" s="30" t="s">
        <v>32</v>
      </c>
      <c r="C59" s="19">
        <v>5026</v>
      </c>
      <c r="D59" s="814">
        <v>4601</v>
      </c>
      <c r="E59" s="75">
        <f>IF(C59&lt;D59,C59,D59)</f>
        <v>4601</v>
      </c>
      <c r="F59" s="827"/>
      <c r="G59" s="20">
        <f>E59+F59</f>
        <v>4601</v>
      </c>
      <c r="H59" s="21">
        <v>1.2886370871468364</v>
      </c>
      <c r="I59" s="17">
        <f>E59*H59</f>
        <v>5929.019237962594</v>
      </c>
      <c r="J59" s="28"/>
      <c r="K59" s="23">
        <f>SUM(I59:J59)</f>
        <v>5929.019237962594</v>
      </c>
      <c r="L59" s="80"/>
      <c r="M59" s="815">
        <f>IF(D59&gt;C59,C59-D59,0)</f>
        <v>0</v>
      </c>
      <c r="N59" s="24">
        <f>IF(D59&lt;C59,C59-D59,0)</f>
        <v>425</v>
      </c>
    </row>
    <row r="60" spans="1:14" ht="13.5" thickBot="1">
      <c r="A60" s="31" t="s">
        <v>42</v>
      </c>
      <c r="B60" s="32" t="s">
        <v>33</v>
      </c>
      <c r="C60" s="818">
        <v>8153</v>
      </c>
      <c r="D60" s="819">
        <f>SUM(D55:D59)</f>
        <v>7034</v>
      </c>
      <c r="E60" s="819">
        <f>SUM(E55:E59)</f>
        <v>7034</v>
      </c>
      <c r="F60" s="820">
        <f>SUM(F55:F59)</f>
        <v>0</v>
      </c>
      <c r="G60" s="821">
        <f>SUM(G55:G59)</f>
        <v>7034</v>
      </c>
      <c r="H60" s="820"/>
      <c r="I60" s="820">
        <f>SUM(I55:I59)</f>
        <v>9132.592769361687</v>
      </c>
      <c r="J60" s="820">
        <f>SUM(J55:J59)</f>
        <v>0</v>
      </c>
      <c r="K60" s="822">
        <f>SUM(K55:K59)</f>
        <v>9132.592769361687</v>
      </c>
      <c r="L60" s="823">
        <f>ROUND(K60*$N$155/$K$150,0)</f>
        <v>240118</v>
      </c>
      <c r="M60" s="824">
        <f>SUM(M55:M59)</f>
        <v>0</v>
      </c>
      <c r="N60" s="825">
        <f>SUM(N55:N59)</f>
        <v>1119</v>
      </c>
    </row>
    <row r="61" spans="1:14" ht="12.75">
      <c r="A61" s="826" t="s">
        <v>44</v>
      </c>
      <c r="B61" s="18" t="s">
        <v>28</v>
      </c>
      <c r="C61" s="19">
        <v>2418.5</v>
      </c>
      <c r="D61" s="816">
        <v>2017</v>
      </c>
      <c r="E61" s="75">
        <f>IF(C61&gt;=0.9*D61,D61,C61+0.1*D61)</f>
        <v>2017</v>
      </c>
      <c r="F61" s="17"/>
      <c r="G61" s="20">
        <f>E61+F61</f>
        <v>2017</v>
      </c>
      <c r="H61" s="21">
        <v>1.4064874922472608</v>
      </c>
      <c r="I61" s="17">
        <f>E61*H61</f>
        <v>2836.885271862725</v>
      </c>
      <c r="J61" s="22"/>
      <c r="K61" s="23">
        <f>SUM(I61:J61)</f>
        <v>2836.885271862725</v>
      </c>
      <c r="L61" s="75"/>
      <c r="M61" s="815">
        <f>IF(D61&gt;C61,C61-D61,0)</f>
        <v>0</v>
      </c>
      <c r="N61" s="24">
        <f>IF(D61&lt;C61,C61-D61,0)</f>
        <v>401.5</v>
      </c>
    </row>
    <row r="62" spans="1:14" ht="12.75">
      <c r="A62" s="804" t="s">
        <v>44</v>
      </c>
      <c r="B62" s="18" t="s">
        <v>29</v>
      </c>
      <c r="C62" s="19">
        <v>0</v>
      </c>
      <c r="D62" s="816">
        <v>0</v>
      </c>
      <c r="E62" s="75">
        <f>IF(C62&gt;=0.9*D62,D62,C62+0.1*D62)</f>
        <v>0</v>
      </c>
      <c r="F62" s="17"/>
      <c r="G62" s="20">
        <f>E62+F62</f>
        <v>0</v>
      </c>
      <c r="H62" s="21"/>
      <c r="I62" s="17">
        <f>E62*H62</f>
        <v>0</v>
      </c>
      <c r="J62" s="22"/>
      <c r="K62" s="23">
        <f>SUM(I62:J62)</f>
        <v>0</v>
      </c>
      <c r="L62" s="75"/>
      <c r="M62" s="815">
        <f>IF(D62&gt;C62,C62-D62,0)</f>
        <v>0</v>
      </c>
      <c r="N62" s="24">
        <f>IF(D62&lt;C62,C62-D62,0)</f>
        <v>0</v>
      </c>
    </row>
    <row r="63" spans="1:14" ht="12.75">
      <c r="A63" s="804" t="s">
        <v>44</v>
      </c>
      <c r="B63" s="18" t="s">
        <v>30</v>
      </c>
      <c r="C63" s="19">
        <v>836.5</v>
      </c>
      <c r="D63" s="816">
        <v>607</v>
      </c>
      <c r="E63" s="75">
        <f>IF(C63&gt;=0.9*D63,D63,C63+0.1*D63)</f>
        <v>607</v>
      </c>
      <c r="F63" s="17"/>
      <c r="G63" s="20">
        <f>E63+F63</f>
        <v>607</v>
      </c>
      <c r="H63" s="21">
        <v>1.1695158398087269</v>
      </c>
      <c r="I63" s="17">
        <f>E63*H63</f>
        <v>709.8961147638972</v>
      </c>
      <c r="J63" s="22"/>
      <c r="K63" s="23">
        <f>SUM(I63:J63)</f>
        <v>709.8961147638972</v>
      </c>
      <c r="L63" s="75"/>
      <c r="M63" s="815">
        <f>IF(D63&gt;C63,C63-D63,0)</f>
        <v>0</v>
      </c>
      <c r="N63" s="24">
        <f>IF(D63&lt;C63,C63-D63,0)</f>
        <v>229.5</v>
      </c>
    </row>
    <row r="64" spans="1:14" ht="12.75">
      <c r="A64" s="25" t="s">
        <v>44</v>
      </c>
      <c r="B64" s="26" t="s">
        <v>31</v>
      </c>
      <c r="C64" s="27">
        <v>31</v>
      </c>
      <c r="D64" s="816">
        <v>35</v>
      </c>
      <c r="E64" s="75">
        <f>IF(C64&gt;=0.9*D64,D64,C64+0.1*D64)</f>
        <v>34.5</v>
      </c>
      <c r="F64" s="827"/>
      <c r="G64" s="20">
        <f>E64+F64</f>
        <v>34.5</v>
      </c>
      <c r="H64" s="29">
        <v>1.5661290322580643</v>
      </c>
      <c r="I64" s="17">
        <f>E64*H64</f>
        <v>54.03145161290322</v>
      </c>
      <c r="J64" s="28"/>
      <c r="K64" s="23">
        <f>SUM(I64:J64)</f>
        <v>54.03145161290322</v>
      </c>
      <c r="L64" s="80"/>
      <c r="M64" s="815">
        <f>IF(D64&gt;C64,C64-D64,0)</f>
        <v>-4</v>
      </c>
      <c r="N64" s="24">
        <f>IF(D64&lt;C64,C64-D64,0)</f>
        <v>0</v>
      </c>
    </row>
    <row r="65" spans="1:14" ht="13.5" thickBot="1">
      <c r="A65" s="828" t="s">
        <v>44</v>
      </c>
      <c r="B65" s="30" t="s">
        <v>32</v>
      </c>
      <c r="C65" s="19">
        <v>3617</v>
      </c>
      <c r="D65" s="814">
        <v>3481</v>
      </c>
      <c r="E65" s="75">
        <f>IF(C65&lt;D65,C65,D65)</f>
        <v>3481</v>
      </c>
      <c r="F65" s="827"/>
      <c r="G65" s="20">
        <f>E65+F65</f>
        <v>3481</v>
      </c>
      <c r="H65" s="21">
        <v>1.3469947470279238</v>
      </c>
      <c r="I65" s="17">
        <f>E65*H65</f>
        <v>4688.888714404203</v>
      </c>
      <c r="J65" s="28"/>
      <c r="K65" s="23">
        <f>SUM(I65:J65)</f>
        <v>4688.888714404203</v>
      </c>
      <c r="L65" s="80"/>
      <c r="M65" s="815">
        <f>IF(D65&gt;C65,C65-D65,0)</f>
        <v>0</v>
      </c>
      <c r="N65" s="24">
        <f>IF(D65&lt;C65,C65-D65,0)</f>
        <v>136</v>
      </c>
    </row>
    <row r="66" spans="1:14" ht="13.5" thickBot="1">
      <c r="A66" s="31" t="s">
        <v>44</v>
      </c>
      <c r="B66" s="32" t="s">
        <v>33</v>
      </c>
      <c r="C66" s="818">
        <v>6903</v>
      </c>
      <c r="D66" s="819">
        <f>SUM(D61:D65)</f>
        <v>6140</v>
      </c>
      <c r="E66" s="819">
        <f>SUM(E61:E65)</f>
        <v>6139.5</v>
      </c>
      <c r="F66" s="820">
        <f>SUM(F61:F65)</f>
        <v>0</v>
      </c>
      <c r="G66" s="821">
        <f>SUM(G61:G65)</f>
        <v>6139.5</v>
      </c>
      <c r="H66" s="820"/>
      <c r="I66" s="820">
        <f>SUM(I61:I65)</f>
        <v>8289.701552643728</v>
      </c>
      <c r="J66" s="820">
        <f>SUM(J61:J65)</f>
        <v>0</v>
      </c>
      <c r="K66" s="822">
        <f>SUM(K61:K65)</f>
        <v>8289.701552643728</v>
      </c>
      <c r="L66" s="823">
        <f>ROUND(K66*$N$155/$K$150,0)</f>
        <v>217956</v>
      </c>
      <c r="M66" s="824">
        <f>SUM(M61:M65)</f>
        <v>-4</v>
      </c>
      <c r="N66" s="825">
        <f>SUM(N61:N65)</f>
        <v>767</v>
      </c>
    </row>
    <row r="67" spans="1:14" ht="12.75">
      <c r="A67" s="34" t="s">
        <v>45</v>
      </c>
      <c r="B67" s="18" t="s">
        <v>28</v>
      </c>
      <c r="C67" s="19">
        <v>5981.5</v>
      </c>
      <c r="D67" s="814">
        <v>6160</v>
      </c>
      <c r="E67" s="75">
        <f>IF(C67&gt;=0.9*D67,D67,C67+0.1*D67)</f>
        <v>6160</v>
      </c>
      <c r="F67" s="17"/>
      <c r="G67" s="20">
        <f>E67+F67</f>
        <v>6160</v>
      </c>
      <c r="H67" s="21">
        <v>1.9674245590570927</v>
      </c>
      <c r="I67" s="17">
        <f>E67*H67</f>
        <v>12119.33528379169</v>
      </c>
      <c r="J67" s="22"/>
      <c r="K67" s="23">
        <f>SUM(I67:J67)</f>
        <v>12119.33528379169</v>
      </c>
      <c r="L67" s="75"/>
      <c r="M67" s="815">
        <f>IF(D67&gt;C67,C67-D67,0)</f>
        <v>-178.5</v>
      </c>
      <c r="N67" s="24">
        <f>IF(D67&lt;C67,C67-D67,0)</f>
        <v>0</v>
      </c>
    </row>
    <row r="68" spans="1:14" ht="12.75">
      <c r="A68" s="35" t="s">
        <v>45</v>
      </c>
      <c r="B68" s="18" t="s">
        <v>29</v>
      </c>
      <c r="C68" s="19">
        <v>0</v>
      </c>
      <c r="D68" s="814">
        <v>0</v>
      </c>
      <c r="E68" s="75">
        <f>IF(C68&gt;=0.9*D68,D68,C68+0.1*D68)</f>
        <v>0</v>
      </c>
      <c r="F68" s="17"/>
      <c r="G68" s="20">
        <f>E68+F68</f>
        <v>0</v>
      </c>
      <c r="H68" s="21"/>
      <c r="I68" s="17">
        <f>E68*H68</f>
        <v>0</v>
      </c>
      <c r="J68" s="22"/>
      <c r="K68" s="23">
        <f>SUM(I68:J68)</f>
        <v>0</v>
      </c>
      <c r="L68" s="75"/>
      <c r="M68" s="815">
        <f>IF(D68&gt;C68,C68-D68,0)</f>
        <v>0</v>
      </c>
      <c r="N68" s="24">
        <f>IF(D68&lt;C68,C68-D68,0)</f>
        <v>0</v>
      </c>
    </row>
    <row r="69" spans="1:14" ht="12.75">
      <c r="A69" s="35" t="s">
        <v>45</v>
      </c>
      <c r="B69" s="18" t="s">
        <v>30</v>
      </c>
      <c r="C69" s="19">
        <v>2633.5</v>
      </c>
      <c r="D69" s="816">
        <v>2410</v>
      </c>
      <c r="E69" s="75">
        <f>IF(C69&gt;=0.9*D69,D69,C69+0.1*D69)</f>
        <v>2410</v>
      </c>
      <c r="F69" s="17"/>
      <c r="G69" s="20">
        <f>E69+F69</f>
        <v>2410</v>
      </c>
      <c r="H69" s="21">
        <v>1.8685057907727358</v>
      </c>
      <c r="I69" s="17">
        <f>E69*H69</f>
        <v>4503.098955762293</v>
      </c>
      <c r="J69" s="22"/>
      <c r="K69" s="23">
        <f>SUM(I69:J69)</f>
        <v>4503.098955762293</v>
      </c>
      <c r="L69" s="75"/>
      <c r="M69" s="815">
        <f>IF(D69&gt;C69,C69-D69,0)</f>
        <v>0</v>
      </c>
      <c r="N69" s="24">
        <f>IF(D69&lt;C69,C69-D69,0)</f>
        <v>223.5</v>
      </c>
    </row>
    <row r="70" spans="1:14" ht="12.75">
      <c r="A70" s="25" t="s">
        <v>45</v>
      </c>
      <c r="B70" s="26" t="s">
        <v>31</v>
      </c>
      <c r="C70" s="27">
        <v>415.5</v>
      </c>
      <c r="D70" s="816">
        <v>493</v>
      </c>
      <c r="E70" s="75">
        <f>IF(C70&gt;=0.9*D70,D70,C70+0.1*D70)</f>
        <v>464.8</v>
      </c>
      <c r="F70" s="827"/>
      <c r="G70" s="20">
        <f>E70+F70</f>
        <v>464.8</v>
      </c>
      <c r="H70" s="29">
        <v>1.927870036101083</v>
      </c>
      <c r="I70" s="17">
        <f>E70*H70</f>
        <v>896.0739927797833</v>
      </c>
      <c r="J70" s="28"/>
      <c r="K70" s="23">
        <f>SUM(I70:J70)</f>
        <v>896.0739927797833</v>
      </c>
      <c r="L70" s="80"/>
      <c r="M70" s="815">
        <f>IF(D70&gt;C70,C70-D70,0)</f>
        <v>-77.5</v>
      </c>
      <c r="N70" s="24">
        <f>IF(D70&lt;C70,C70-D70,0)</f>
        <v>0</v>
      </c>
    </row>
    <row r="71" spans="1:14" ht="13.5" thickBot="1">
      <c r="A71" s="36" t="s">
        <v>45</v>
      </c>
      <c r="B71" s="30" t="s">
        <v>32</v>
      </c>
      <c r="C71" s="19">
        <v>11436</v>
      </c>
      <c r="D71" s="814">
        <v>10827</v>
      </c>
      <c r="E71" s="75">
        <f>IF(C71&lt;D71,C71,D71)</f>
        <v>10827</v>
      </c>
      <c r="F71" s="827"/>
      <c r="G71" s="20">
        <f>E71+F71</f>
        <v>10827</v>
      </c>
      <c r="H71" s="21">
        <v>1.880251836306401</v>
      </c>
      <c r="I71" s="17">
        <f>E71*H71</f>
        <v>20357.486631689404</v>
      </c>
      <c r="J71" s="28"/>
      <c r="K71" s="23">
        <f>SUM(I71:J71)</f>
        <v>20357.486631689404</v>
      </c>
      <c r="L71" s="80"/>
      <c r="M71" s="815">
        <f>IF(D71&gt;C71,C71-D71,0)</f>
        <v>0</v>
      </c>
      <c r="N71" s="24">
        <f>IF(D71&lt;C71,C71-D71,0)</f>
        <v>609</v>
      </c>
    </row>
    <row r="72" spans="1:14" ht="13.5" thickBot="1">
      <c r="A72" s="31" t="s">
        <v>45</v>
      </c>
      <c r="B72" s="32" t="s">
        <v>33</v>
      </c>
      <c r="C72" s="818">
        <v>20466.5</v>
      </c>
      <c r="D72" s="819">
        <f>SUM(D67:D71)</f>
        <v>19890</v>
      </c>
      <c r="E72" s="819">
        <f>SUM(E67:E71)</f>
        <v>19861.8</v>
      </c>
      <c r="F72" s="820">
        <f>SUM(F67:F71)</f>
        <v>0</v>
      </c>
      <c r="G72" s="821">
        <f>SUM(G67:G71)</f>
        <v>19861.8</v>
      </c>
      <c r="H72" s="820"/>
      <c r="I72" s="820">
        <f>SUM(I67:I71)</f>
        <v>37875.994864023174</v>
      </c>
      <c r="J72" s="820">
        <f>SUM(J67:J71)</f>
        <v>0</v>
      </c>
      <c r="K72" s="822">
        <f>SUM(K67:K71)</f>
        <v>37875.994864023174</v>
      </c>
      <c r="L72" s="823">
        <f>ROUND(K72*$N$155/$K$150,0)</f>
        <v>995851</v>
      </c>
      <c r="M72" s="824">
        <f>SUM(M67:M71)</f>
        <v>-256</v>
      </c>
      <c r="N72" s="825">
        <f>SUM(N67:N71)</f>
        <v>832.5</v>
      </c>
    </row>
    <row r="73" spans="1:14" ht="12.75">
      <c r="A73" s="826" t="s">
        <v>46</v>
      </c>
      <c r="B73" s="18" t="s">
        <v>28</v>
      </c>
      <c r="C73" s="19">
        <v>1518</v>
      </c>
      <c r="D73" s="814">
        <v>1134</v>
      </c>
      <c r="E73" s="75">
        <f>IF(C73&gt;=0.9*D73,D73,C73+0.1*D73)</f>
        <v>1134</v>
      </c>
      <c r="F73" s="17"/>
      <c r="G73" s="20">
        <f>E73+F73</f>
        <v>1134</v>
      </c>
      <c r="H73" s="21">
        <v>2.6936758893280635</v>
      </c>
      <c r="I73" s="17">
        <f>E73*H73</f>
        <v>3054.628458498024</v>
      </c>
      <c r="J73" s="22"/>
      <c r="K73" s="23">
        <f>SUM(I73:J73)</f>
        <v>3054.628458498024</v>
      </c>
      <c r="L73" s="75"/>
      <c r="M73" s="815">
        <f>IF(D73&gt;C73,C73-D73,0)</f>
        <v>0</v>
      </c>
      <c r="N73" s="24">
        <f>IF(D73&lt;C73,C73-D73,0)</f>
        <v>384</v>
      </c>
    </row>
    <row r="74" spans="1:14" ht="12.75">
      <c r="A74" s="804" t="s">
        <v>46</v>
      </c>
      <c r="B74" s="18" t="s">
        <v>29</v>
      </c>
      <c r="C74" s="19">
        <v>0</v>
      </c>
      <c r="D74" s="814">
        <v>0</v>
      </c>
      <c r="E74" s="75">
        <f>IF(C74&gt;=0.9*D74,D74,C74+0.1*D74)</f>
        <v>0</v>
      </c>
      <c r="F74" s="17"/>
      <c r="G74" s="20">
        <f>E74+F74</f>
        <v>0</v>
      </c>
      <c r="H74" s="21"/>
      <c r="I74" s="17">
        <f>E74*H74</f>
        <v>0</v>
      </c>
      <c r="J74" s="22"/>
      <c r="K74" s="23">
        <f>SUM(I74:J74)</f>
        <v>0</v>
      </c>
      <c r="L74" s="75"/>
      <c r="M74" s="815">
        <f>IF(D74&gt;C74,C74-D74,0)</f>
        <v>0</v>
      </c>
      <c r="N74" s="24">
        <f>IF(D74&lt;C74,C74-D74,0)</f>
        <v>0</v>
      </c>
    </row>
    <row r="75" spans="1:14" ht="12.75">
      <c r="A75" s="804" t="s">
        <v>46</v>
      </c>
      <c r="B75" s="18" t="s">
        <v>30</v>
      </c>
      <c r="C75" s="19">
        <v>457</v>
      </c>
      <c r="D75" s="814">
        <v>398</v>
      </c>
      <c r="E75" s="75">
        <f>IF(C75&gt;=0.9*D75,D75,C75+0.1*D75)</f>
        <v>398</v>
      </c>
      <c r="F75" s="17"/>
      <c r="G75" s="20">
        <f>E75+F75</f>
        <v>398</v>
      </c>
      <c r="H75" s="21">
        <v>2.6492341356673963</v>
      </c>
      <c r="I75" s="17">
        <f>E75*H75</f>
        <v>1054.3951859956237</v>
      </c>
      <c r="J75" s="22"/>
      <c r="K75" s="23">
        <f>SUM(I75:J75)</f>
        <v>1054.3951859956237</v>
      </c>
      <c r="L75" s="75"/>
      <c r="M75" s="815">
        <f>IF(D75&gt;C75,C75-D75,0)</f>
        <v>0</v>
      </c>
      <c r="N75" s="24">
        <f>IF(D75&lt;C75,C75-D75,0)</f>
        <v>59</v>
      </c>
    </row>
    <row r="76" spans="1:14" ht="12.75">
      <c r="A76" s="25" t="s">
        <v>46</v>
      </c>
      <c r="B76" s="26" t="s">
        <v>31</v>
      </c>
      <c r="C76" s="27">
        <v>155</v>
      </c>
      <c r="D76" s="816">
        <v>190</v>
      </c>
      <c r="E76" s="75">
        <f>IF(C76&gt;=0.9*D76,D76,C76+0.1*D76)</f>
        <v>174</v>
      </c>
      <c r="F76" s="827"/>
      <c r="G76" s="20">
        <f>E76+F76</f>
        <v>174</v>
      </c>
      <c r="H76" s="29">
        <v>2.770967741935484</v>
      </c>
      <c r="I76" s="17">
        <f>E76*H76</f>
        <v>482.1483870967742</v>
      </c>
      <c r="J76" s="28"/>
      <c r="K76" s="23">
        <f>SUM(I76:J76)</f>
        <v>482.1483870967742</v>
      </c>
      <c r="L76" s="80"/>
      <c r="M76" s="815">
        <f>IF(D76&gt;C76,C76-D76,0)</f>
        <v>-35</v>
      </c>
      <c r="N76" s="24">
        <f>IF(D76&lt;C76,C76-D76,0)</f>
        <v>0</v>
      </c>
    </row>
    <row r="77" spans="1:14" ht="13.5" thickBot="1">
      <c r="A77" s="828" t="s">
        <v>46</v>
      </c>
      <c r="B77" s="30" t="s">
        <v>32</v>
      </c>
      <c r="C77" s="19">
        <v>1980.5</v>
      </c>
      <c r="D77" s="814">
        <v>1767</v>
      </c>
      <c r="E77" s="75">
        <f>IF(C77&lt;D77,C77,D77)</f>
        <v>1767</v>
      </c>
      <c r="F77" s="827"/>
      <c r="G77" s="20">
        <f>E77+F77</f>
        <v>1767</v>
      </c>
      <c r="H77" s="21">
        <v>2.7525624842211562</v>
      </c>
      <c r="I77" s="17">
        <f>E77*H77</f>
        <v>4863.777909618783</v>
      </c>
      <c r="J77" s="28"/>
      <c r="K77" s="23">
        <f>SUM(I77:J77)</f>
        <v>4863.777909618783</v>
      </c>
      <c r="L77" s="80"/>
      <c r="M77" s="815">
        <f>IF(D77&gt;C77,C77-D77,0)</f>
        <v>0</v>
      </c>
      <c r="N77" s="24">
        <f>IF(D77&lt;C77,C77-D77,0)</f>
        <v>213.5</v>
      </c>
    </row>
    <row r="78" spans="1:14" ht="13.5" thickBot="1">
      <c r="A78" s="31" t="s">
        <v>46</v>
      </c>
      <c r="B78" s="32" t="s">
        <v>33</v>
      </c>
      <c r="C78" s="818">
        <v>4110.5</v>
      </c>
      <c r="D78" s="819">
        <f>SUM(D73:D77)</f>
        <v>3489</v>
      </c>
      <c r="E78" s="819">
        <f>SUM(E73:E77)</f>
        <v>3473</v>
      </c>
      <c r="F78" s="820">
        <f>SUM(F73:F77)</f>
        <v>0</v>
      </c>
      <c r="G78" s="821">
        <f>SUM(G73:G77)</f>
        <v>3473</v>
      </c>
      <c r="H78" s="820"/>
      <c r="I78" s="820">
        <f>SUM(I73:I77)</f>
        <v>9454.949941209205</v>
      </c>
      <c r="J78" s="820">
        <f>SUM(J73:J77)</f>
        <v>0</v>
      </c>
      <c r="K78" s="822">
        <f>SUM(K73:K77)</f>
        <v>9454.949941209205</v>
      </c>
      <c r="L78" s="823">
        <f>ROUND(K78*$N$155/$K$150,0)</f>
        <v>248593</v>
      </c>
      <c r="M78" s="824">
        <f>SUM(M73:M77)</f>
        <v>-35</v>
      </c>
      <c r="N78" s="825">
        <f>SUM(N73:N77)</f>
        <v>656.5</v>
      </c>
    </row>
    <row r="79" spans="1:14" ht="12.75">
      <c r="A79" s="826" t="s">
        <v>47</v>
      </c>
      <c r="B79" s="18" t="s">
        <v>28</v>
      </c>
      <c r="C79" s="19">
        <v>3872.5</v>
      </c>
      <c r="D79" s="814">
        <v>3408</v>
      </c>
      <c r="E79" s="75">
        <f>IF(C79&gt;=0.9*D79,D79,C79+0.1*D79)</f>
        <v>3408</v>
      </c>
      <c r="F79" s="17"/>
      <c r="G79" s="20">
        <f>E79+F79</f>
        <v>3408</v>
      </c>
      <c r="H79" s="21">
        <v>1.565916074887024</v>
      </c>
      <c r="I79" s="17">
        <f>E79*H79</f>
        <v>5336.641983214978</v>
      </c>
      <c r="J79" s="22"/>
      <c r="K79" s="23">
        <f>SUM(I79:J79)</f>
        <v>5336.641983214978</v>
      </c>
      <c r="L79" s="75"/>
      <c r="M79" s="815">
        <f>IF(D79&gt;C79,C79-D79,0)</f>
        <v>0</v>
      </c>
      <c r="N79" s="24">
        <f>IF(D79&lt;C79,C79-D79,0)</f>
        <v>464.5</v>
      </c>
    </row>
    <row r="80" spans="1:14" ht="12.75">
      <c r="A80" s="804" t="s">
        <v>47</v>
      </c>
      <c r="B80" s="18" t="s">
        <v>29</v>
      </c>
      <c r="C80" s="19">
        <v>355.5</v>
      </c>
      <c r="D80" s="814">
        <v>324</v>
      </c>
      <c r="E80" s="75">
        <f>IF(C80&gt;=0.9*D80,D80,C80+0.1*D80)</f>
        <v>324</v>
      </c>
      <c r="F80" s="17"/>
      <c r="G80" s="20">
        <f>E80+F80</f>
        <v>324</v>
      </c>
      <c r="H80" s="21">
        <v>1.060196905766526</v>
      </c>
      <c r="I80" s="17">
        <f>E80*H80</f>
        <v>343.5037974683544</v>
      </c>
      <c r="J80" s="22"/>
      <c r="K80" s="23">
        <f>SUM(I80:J80)</f>
        <v>343.5037974683544</v>
      </c>
      <c r="L80" s="75"/>
      <c r="M80" s="815">
        <f>IF(D80&gt;C80,C80-D80,0)</f>
        <v>0</v>
      </c>
      <c r="N80" s="24">
        <f>IF(D80&lt;C80,C80-D80,0)</f>
        <v>31.5</v>
      </c>
    </row>
    <row r="81" spans="1:14" ht="12.75">
      <c r="A81" s="804" t="s">
        <v>47</v>
      </c>
      <c r="B81" s="18" t="s">
        <v>30</v>
      </c>
      <c r="C81" s="19">
        <v>1247</v>
      </c>
      <c r="D81" s="814">
        <v>1094</v>
      </c>
      <c r="E81" s="75">
        <f>IF(C81&gt;=0.9*D81,D81,C81+0.1*D81)</f>
        <v>1094</v>
      </c>
      <c r="F81" s="17"/>
      <c r="G81" s="20">
        <f>E81+F81</f>
        <v>1094</v>
      </c>
      <c r="H81" s="21">
        <v>1.5106896551724138</v>
      </c>
      <c r="I81" s="17">
        <f>E81*H81</f>
        <v>1652.6944827586208</v>
      </c>
      <c r="J81" s="22"/>
      <c r="K81" s="23">
        <f>SUM(I81:J81)</f>
        <v>1652.6944827586208</v>
      </c>
      <c r="L81" s="75"/>
      <c r="M81" s="815">
        <f>IF(D81&gt;C81,C81-D81,0)</f>
        <v>0</v>
      </c>
      <c r="N81" s="24">
        <f>IF(D81&lt;C81,C81-D81,0)</f>
        <v>153</v>
      </c>
    </row>
    <row r="82" spans="1:14" ht="12.75">
      <c r="A82" s="25" t="s">
        <v>47</v>
      </c>
      <c r="B82" s="26" t="s">
        <v>31</v>
      </c>
      <c r="C82" s="27">
        <v>146</v>
      </c>
      <c r="D82" s="816">
        <v>158</v>
      </c>
      <c r="E82" s="75">
        <f>IF(C82&gt;=0.9*D82,D82,C82+0.1*D82)</f>
        <v>158</v>
      </c>
      <c r="F82" s="827"/>
      <c r="G82" s="20">
        <f>E82+F82</f>
        <v>158</v>
      </c>
      <c r="H82" s="29">
        <v>1.4810273972602739</v>
      </c>
      <c r="I82" s="17">
        <f>E82*H82</f>
        <v>234.00232876712326</v>
      </c>
      <c r="J82" s="28"/>
      <c r="K82" s="23">
        <f>SUM(I82:J82)</f>
        <v>234.00232876712326</v>
      </c>
      <c r="L82" s="80"/>
      <c r="M82" s="815">
        <f>IF(D82&gt;C82,C82-D82,0)</f>
        <v>-12</v>
      </c>
      <c r="N82" s="24">
        <f>IF(D82&lt;C82,C82-D82,0)</f>
        <v>0</v>
      </c>
    </row>
    <row r="83" spans="1:14" ht="13.5" thickBot="1">
      <c r="A83" s="828" t="s">
        <v>47</v>
      </c>
      <c r="B83" s="30" t="s">
        <v>32</v>
      </c>
      <c r="C83" s="19">
        <v>7712.5</v>
      </c>
      <c r="D83" s="814">
        <v>7404</v>
      </c>
      <c r="E83" s="75">
        <f>IF(C83&lt;D83,C83,D83)</f>
        <v>7404</v>
      </c>
      <c r="F83" s="827"/>
      <c r="G83" s="20">
        <f>E83+F83</f>
        <v>7404</v>
      </c>
      <c r="H83" s="21">
        <v>1.4803332252836305</v>
      </c>
      <c r="I83" s="17">
        <f>E83*H83</f>
        <v>10960.387200000001</v>
      </c>
      <c r="J83" s="28"/>
      <c r="K83" s="23">
        <f>SUM(I83:J83)</f>
        <v>10960.387200000001</v>
      </c>
      <c r="L83" s="80"/>
      <c r="M83" s="815">
        <f>IF(D83&gt;C83,C83-D83,0)</f>
        <v>0</v>
      </c>
      <c r="N83" s="24">
        <f>IF(D83&lt;C83,C83-D83,0)</f>
        <v>308.5</v>
      </c>
    </row>
    <row r="84" spans="1:14" ht="13.5" thickBot="1">
      <c r="A84" s="31" t="s">
        <v>47</v>
      </c>
      <c r="B84" s="32" t="s">
        <v>33</v>
      </c>
      <c r="C84" s="818">
        <v>13333.5</v>
      </c>
      <c r="D84" s="819">
        <f>SUM(D79:D83)</f>
        <v>12388</v>
      </c>
      <c r="E84" s="819">
        <f>SUM(E79:E83)</f>
        <v>12388</v>
      </c>
      <c r="F84" s="820">
        <f>SUM(F79:F83)</f>
        <v>0</v>
      </c>
      <c r="G84" s="821">
        <f>SUM(G79:G83)</f>
        <v>12388</v>
      </c>
      <c r="H84" s="820"/>
      <c r="I84" s="820">
        <f>SUM(I79:I83)</f>
        <v>18527.229792209077</v>
      </c>
      <c r="J84" s="820">
        <f>SUM(J79:J83)</f>
        <v>0</v>
      </c>
      <c r="K84" s="822">
        <f>SUM(K79:K83)</f>
        <v>18527.229792209077</v>
      </c>
      <c r="L84" s="823">
        <f>ROUND(K84*$N$155/$K$150,0)</f>
        <v>487125</v>
      </c>
      <c r="M84" s="824">
        <f>SUM(M79:M83)</f>
        <v>-12</v>
      </c>
      <c r="N84" s="825">
        <f>SUM(N79:N83)</f>
        <v>957.5</v>
      </c>
    </row>
    <row r="85" spans="1:14" ht="12.75">
      <c r="A85" s="829" t="s">
        <v>48</v>
      </c>
      <c r="B85" s="18" t="s">
        <v>28</v>
      </c>
      <c r="C85" s="19">
        <v>2364.5</v>
      </c>
      <c r="D85" s="814">
        <v>2205</v>
      </c>
      <c r="E85" s="75">
        <f>IF(C85&gt;=0.9*D85,D85,C85+0.1*D85)</f>
        <v>2205</v>
      </c>
      <c r="F85" s="17"/>
      <c r="G85" s="20">
        <f>E85+F85</f>
        <v>2205</v>
      </c>
      <c r="H85" s="21">
        <v>1.544838232184394</v>
      </c>
      <c r="I85" s="17">
        <f>E85*H85</f>
        <v>3406.368301966589</v>
      </c>
      <c r="J85" s="22"/>
      <c r="K85" s="23">
        <f>SUM(I85:J85)</f>
        <v>3406.368301966589</v>
      </c>
      <c r="L85" s="75"/>
      <c r="M85" s="815">
        <f>IF(D85&gt;C85,C85-D85,0)</f>
        <v>0</v>
      </c>
      <c r="N85" s="24">
        <f>IF(D85&lt;C85,C85-D85,0)</f>
        <v>159.5</v>
      </c>
    </row>
    <row r="86" spans="1:14" ht="12.75">
      <c r="A86" s="813" t="s">
        <v>48</v>
      </c>
      <c r="B86" s="18" t="s">
        <v>29</v>
      </c>
      <c r="C86" s="19">
        <v>64</v>
      </c>
      <c r="D86" s="814">
        <v>62</v>
      </c>
      <c r="E86" s="75">
        <f>IF(C86&gt;=0.9*D86,D86,C86+0.1*D86)</f>
        <v>62</v>
      </c>
      <c r="F86" s="17"/>
      <c r="G86" s="20">
        <f>E86+F86</f>
        <v>62</v>
      </c>
      <c r="H86" s="21">
        <v>1.2</v>
      </c>
      <c r="I86" s="17">
        <f>E86*H86</f>
        <v>74.39999999999999</v>
      </c>
      <c r="J86" s="22"/>
      <c r="K86" s="23">
        <f>SUM(I86:J86)</f>
        <v>74.39999999999999</v>
      </c>
      <c r="L86" s="75"/>
      <c r="M86" s="815">
        <f>IF(D86&gt;C86,C86-D86,0)</f>
        <v>0</v>
      </c>
      <c r="N86" s="24">
        <f>IF(D86&lt;C86,C86-D86,0)</f>
        <v>2</v>
      </c>
    </row>
    <row r="87" spans="1:14" ht="12.75">
      <c r="A87" s="813" t="s">
        <v>48</v>
      </c>
      <c r="B87" s="18" t="s">
        <v>30</v>
      </c>
      <c r="C87" s="19">
        <v>757</v>
      </c>
      <c r="D87" s="814">
        <v>668</v>
      </c>
      <c r="E87" s="75">
        <f>IF(C87&gt;=0.9*D87,D87,C87+0.1*D87)</f>
        <v>668</v>
      </c>
      <c r="F87" s="17"/>
      <c r="G87" s="20">
        <f>E87+F87</f>
        <v>668</v>
      </c>
      <c r="H87" s="21">
        <v>1.473421400264201</v>
      </c>
      <c r="I87" s="17">
        <f>E87*H87</f>
        <v>984.2454953764862</v>
      </c>
      <c r="J87" s="22"/>
      <c r="K87" s="23">
        <f>SUM(I87:J87)</f>
        <v>984.2454953764862</v>
      </c>
      <c r="L87" s="75"/>
      <c r="M87" s="815">
        <f>IF(D87&gt;C87,C87-D87,0)</f>
        <v>0</v>
      </c>
      <c r="N87" s="24">
        <f>IF(D87&lt;C87,C87-D87,0)</f>
        <v>89</v>
      </c>
    </row>
    <row r="88" spans="1:14" ht="12.75">
      <c r="A88" s="25" t="s">
        <v>48</v>
      </c>
      <c r="B88" s="26" t="s">
        <v>31</v>
      </c>
      <c r="C88" s="27">
        <v>88</v>
      </c>
      <c r="D88" s="816">
        <v>71</v>
      </c>
      <c r="E88" s="75">
        <f>IF(C88&gt;=0.9*D88,D88,C88+0.1*D88)</f>
        <v>71</v>
      </c>
      <c r="F88" s="827"/>
      <c r="G88" s="20">
        <f>E88+F88</f>
        <v>71</v>
      </c>
      <c r="H88" s="29">
        <v>1.5319318181818182</v>
      </c>
      <c r="I88" s="17">
        <f>E88*H88</f>
        <v>108.76715909090909</v>
      </c>
      <c r="J88" s="28"/>
      <c r="K88" s="23">
        <f>SUM(I88:J88)</f>
        <v>108.76715909090909</v>
      </c>
      <c r="L88" s="80"/>
      <c r="M88" s="815">
        <f>IF(D88&gt;C88,C88-D88,0)</f>
        <v>0</v>
      </c>
      <c r="N88" s="24">
        <f>IF(D88&lt;C88,C88-D88,0)</f>
        <v>17</v>
      </c>
    </row>
    <row r="89" spans="1:14" ht="13.5" thickBot="1">
      <c r="A89" s="817" t="s">
        <v>48</v>
      </c>
      <c r="B89" s="30" t="s">
        <v>32</v>
      </c>
      <c r="C89" s="19">
        <v>4441.5</v>
      </c>
      <c r="D89" s="814">
        <v>4307</v>
      </c>
      <c r="E89" s="75">
        <f>IF(C89&lt;D89,C89,D89)</f>
        <v>4307</v>
      </c>
      <c r="F89" s="827"/>
      <c r="G89" s="20">
        <f>E89+F89</f>
        <v>4307</v>
      </c>
      <c r="H89" s="21">
        <v>1.4913857930879206</v>
      </c>
      <c r="I89" s="17">
        <f>E89*H89</f>
        <v>6423.398610829674</v>
      </c>
      <c r="J89" s="28"/>
      <c r="K89" s="23">
        <f>SUM(I89:J89)</f>
        <v>6423.398610829674</v>
      </c>
      <c r="L89" s="80"/>
      <c r="M89" s="815">
        <f>IF(D89&gt;C89,C89-D89,0)</f>
        <v>0</v>
      </c>
      <c r="N89" s="24">
        <f>IF(D89&lt;C89,C89-D89,0)</f>
        <v>134.5</v>
      </c>
    </row>
    <row r="90" spans="1:14" ht="13.5" thickBot="1">
      <c r="A90" s="31" t="s">
        <v>48</v>
      </c>
      <c r="B90" s="32" t="s">
        <v>33</v>
      </c>
      <c r="C90" s="818">
        <v>7715</v>
      </c>
      <c r="D90" s="819">
        <f>SUM(D85:D89)</f>
        <v>7313</v>
      </c>
      <c r="E90" s="819">
        <f>SUM(E85:E89)</f>
        <v>7313</v>
      </c>
      <c r="F90" s="820">
        <f>SUM(F85:F89)</f>
        <v>0</v>
      </c>
      <c r="G90" s="821">
        <f>SUM(G85:G89)</f>
        <v>7313</v>
      </c>
      <c r="H90" s="820"/>
      <c r="I90" s="820">
        <f>SUM(I85:I89)</f>
        <v>10997.179567263658</v>
      </c>
      <c r="J90" s="820">
        <f>SUM(J85:J89)</f>
        <v>0</v>
      </c>
      <c r="K90" s="822">
        <f>SUM(K85:K89)</f>
        <v>10997.179567263658</v>
      </c>
      <c r="L90" s="823">
        <f>ROUND(K90*$N$155/$K$150,0)</f>
        <v>289142</v>
      </c>
      <c r="M90" s="824">
        <f>SUM(M85:M89)</f>
        <v>0</v>
      </c>
      <c r="N90" s="825">
        <f>SUM(N85:N89)</f>
        <v>402</v>
      </c>
    </row>
    <row r="91" spans="1:14" ht="12.75">
      <c r="A91" s="826" t="s">
        <v>49</v>
      </c>
      <c r="B91" s="18" t="s">
        <v>28</v>
      </c>
      <c r="C91" s="19">
        <v>3207.5</v>
      </c>
      <c r="D91" s="814">
        <v>2534</v>
      </c>
      <c r="E91" s="75">
        <f>IF(C91&gt;=0.9*D91,D91,C91+0.1*D91)</f>
        <v>2534</v>
      </c>
      <c r="F91" s="17"/>
      <c r="G91" s="20">
        <f>E91+F91</f>
        <v>2534</v>
      </c>
      <c r="H91" s="21">
        <v>1.714547155105222</v>
      </c>
      <c r="I91" s="17">
        <f>E91*H91</f>
        <v>4344.662491036633</v>
      </c>
      <c r="J91" s="22"/>
      <c r="K91" s="23">
        <f>SUM(I91:J91)</f>
        <v>4344.662491036633</v>
      </c>
      <c r="L91" s="75"/>
      <c r="M91" s="815">
        <f>IF(D91&gt;C91,C91-D91,0)</f>
        <v>0</v>
      </c>
      <c r="N91" s="24">
        <f>IF(D91&lt;C91,C91-D91,0)</f>
        <v>673.5</v>
      </c>
    </row>
    <row r="92" spans="1:14" ht="12.75">
      <c r="A92" s="804" t="s">
        <v>49</v>
      </c>
      <c r="B92" s="18" t="s">
        <v>29</v>
      </c>
      <c r="C92" s="19">
        <v>0</v>
      </c>
      <c r="D92" s="814">
        <v>0</v>
      </c>
      <c r="E92" s="75">
        <f>IF(C92&gt;=0.9*D92,D92,C92+0.1*D92)</f>
        <v>0</v>
      </c>
      <c r="F92" s="17"/>
      <c r="G92" s="20">
        <f>E92+F92</f>
        <v>0</v>
      </c>
      <c r="H92" s="21"/>
      <c r="I92" s="17">
        <f>E92*H92</f>
        <v>0</v>
      </c>
      <c r="J92" s="22"/>
      <c r="K92" s="23">
        <f>SUM(I92:J92)</f>
        <v>0</v>
      </c>
      <c r="L92" s="75"/>
      <c r="M92" s="815">
        <f>IF(D92&gt;C92,C92-D92,0)</f>
        <v>0</v>
      </c>
      <c r="N92" s="24">
        <f>IF(D92&lt;C92,C92-D92,0)</f>
        <v>0</v>
      </c>
    </row>
    <row r="93" spans="1:14" ht="12.75">
      <c r="A93" s="804" t="s">
        <v>49</v>
      </c>
      <c r="B93" s="18" t="s">
        <v>30</v>
      </c>
      <c r="C93" s="19">
        <v>1011.5</v>
      </c>
      <c r="D93" s="814">
        <v>743</v>
      </c>
      <c r="E93" s="75">
        <f>IF(C93&gt;=0.9*D93,D93,C93+0.1*D93)</f>
        <v>743</v>
      </c>
      <c r="F93" s="17"/>
      <c r="G93" s="20">
        <f>E93+F93</f>
        <v>743</v>
      </c>
      <c r="H93" s="21">
        <v>1.7071675729115174</v>
      </c>
      <c r="I93" s="17">
        <f>E93*H93</f>
        <v>1268.4255066732574</v>
      </c>
      <c r="J93" s="22"/>
      <c r="K93" s="23">
        <f>SUM(I93:J93)</f>
        <v>1268.4255066732574</v>
      </c>
      <c r="L93" s="75"/>
      <c r="M93" s="815">
        <f>IF(D93&gt;C93,C93-D93,0)</f>
        <v>0</v>
      </c>
      <c r="N93" s="24">
        <f>IF(D93&lt;C93,C93-D93,0)</f>
        <v>268.5</v>
      </c>
    </row>
    <row r="94" spans="1:14" ht="12.75">
      <c r="A94" s="25" t="s">
        <v>49</v>
      </c>
      <c r="B94" s="26" t="s">
        <v>31</v>
      </c>
      <c r="C94" s="27">
        <v>100</v>
      </c>
      <c r="D94" s="816">
        <v>98</v>
      </c>
      <c r="E94" s="75">
        <f>IF(C94&gt;=0.9*D94,D94,C94+0.1*D94)</f>
        <v>98</v>
      </c>
      <c r="F94" s="827"/>
      <c r="G94" s="20">
        <f>E94+F94</f>
        <v>98</v>
      </c>
      <c r="H94" s="29">
        <v>2.044</v>
      </c>
      <c r="I94" s="17">
        <f>E94*H94</f>
        <v>200.312</v>
      </c>
      <c r="J94" s="28"/>
      <c r="K94" s="23">
        <f>SUM(I94:J94)</f>
        <v>200.312</v>
      </c>
      <c r="L94" s="80"/>
      <c r="M94" s="815">
        <f>IF(D94&gt;C94,C94-D94,0)</f>
        <v>0</v>
      </c>
      <c r="N94" s="24">
        <f>IF(D94&lt;C94,C94-D94,0)</f>
        <v>2</v>
      </c>
    </row>
    <row r="95" spans="1:14" ht="13.5" thickBot="1">
      <c r="A95" s="828" t="s">
        <v>49</v>
      </c>
      <c r="B95" s="30" t="s">
        <v>32</v>
      </c>
      <c r="C95" s="19">
        <v>5360</v>
      </c>
      <c r="D95" s="814">
        <v>4544</v>
      </c>
      <c r="E95" s="75">
        <f>IF(C95&lt;D95,C95,D95)</f>
        <v>4544</v>
      </c>
      <c r="F95" s="827"/>
      <c r="G95" s="20">
        <f>E95+F95</f>
        <v>4544</v>
      </c>
      <c r="H95" s="21">
        <v>1.7288731343283583</v>
      </c>
      <c r="I95" s="17">
        <f>E95*H95</f>
        <v>7855.9995223880605</v>
      </c>
      <c r="J95" s="28"/>
      <c r="K95" s="23">
        <f>SUM(I95:J95)</f>
        <v>7855.9995223880605</v>
      </c>
      <c r="L95" s="80"/>
      <c r="M95" s="815">
        <f>IF(D95&gt;C95,C95-D95,0)</f>
        <v>0</v>
      </c>
      <c r="N95" s="24">
        <f>IF(D95&lt;C95,C95-D95,0)</f>
        <v>816</v>
      </c>
    </row>
    <row r="96" spans="1:14" ht="13.5" thickBot="1">
      <c r="A96" s="31" t="s">
        <v>49</v>
      </c>
      <c r="B96" s="32" t="s">
        <v>33</v>
      </c>
      <c r="C96" s="818">
        <v>9679</v>
      </c>
      <c r="D96" s="819">
        <f>SUM(D91:D95)</f>
        <v>7919</v>
      </c>
      <c r="E96" s="819">
        <f>SUM(E91:E95)</f>
        <v>7919</v>
      </c>
      <c r="F96" s="820">
        <f>SUM(F91:F95)</f>
        <v>0</v>
      </c>
      <c r="G96" s="821">
        <f>SUM(G91:G95)</f>
        <v>7919</v>
      </c>
      <c r="H96" s="820"/>
      <c r="I96" s="820">
        <f>SUM(I91:I95)</f>
        <v>13669.399520097952</v>
      </c>
      <c r="J96" s="820">
        <f>SUM(J91:J95)</f>
        <v>0</v>
      </c>
      <c r="K96" s="822">
        <f>SUM(K91:K95)</f>
        <v>13669.399520097952</v>
      </c>
      <c r="L96" s="823">
        <f>ROUND(K96*$N$155/$K$150,0)</f>
        <v>359401</v>
      </c>
      <c r="M96" s="824">
        <f>SUM(M91:M95)</f>
        <v>0</v>
      </c>
      <c r="N96" s="825">
        <f>SUM(N91:N95)</f>
        <v>1760</v>
      </c>
    </row>
    <row r="97" spans="1:14" ht="12.75">
      <c r="A97" s="826" t="s">
        <v>50</v>
      </c>
      <c r="B97" s="18" t="s">
        <v>28</v>
      </c>
      <c r="C97" s="19">
        <v>5623</v>
      </c>
      <c r="D97" s="814">
        <v>5263</v>
      </c>
      <c r="E97" s="75">
        <f>IF(C97&gt;=0.9*D97,D97,C97+0.1*D97)</f>
        <v>5263</v>
      </c>
      <c r="F97" s="17"/>
      <c r="G97" s="20">
        <f>E97+F97</f>
        <v>5263</v>
      </c>
      <c r="H97" s="21">
        <v>1.735372576916237</v>
      </c>
      <c r="I97" s="17">
        <f>E97*H97</f>
        <v>9133.265872310154</v>
      </c>
      <c r="J97" s="22"/>
      <c r="K97" s="23">
        <f>SUM(I97:J97)</f>
        <v>9133.265872310154</v>
      </c>
      <c r="L97" s="75"/>
      <c r="M97" s="815">
        <f>IF(D97&gt;C97,C97-D97,0)</f>
        <v>0</v>
      </c>
      <c r="N97" s="24">
        <f>IF(D97&lt;C97,C97-D97,0)</f>
        <v>360</v>
      </c>
    </row>
    <row r="98" spans="1:14" ht="12.75">
      <c r="A98" s="804" t="s">
        <v>50</v>
      </c>
      <c r="B98" s="18" t="s">
        <v>29</v>
      </c>
      <c r="C98" s="19">
        <v>0</v>
      </c>
      <c r="D98" s="814">
        <v>0</v>
      </c>
      <c r="E98" s="75">
        <f>IF(C98&gt;=0.9*D98,D98,C98+0.1*D98)</f>
        <v>0</v>
      </c>
      <c r="F98" s="17"/>
      <c r="G98" s="20">
        <f>E98+F98</f>
        <v>0</v>
      </c>
      <c r="H98" s="21"/>
      <c r="I98" s="17">
        <f>E98*H98</f>
        <v>0</v>
      </c>
      <c r="J98" s="22"/>
      <c r="K98" s="23">
        <f>SUM(I98:J98)</f>
        <v>0</v>
      </c>
      <c r="L98" s="75"/>
      <c r="M98" s="815">
        <f>IF(D98&gt;C98,C98-D98,0)</f>
        <v>0</v>
      </c>
      <c r="N98" s="24">
        <f>IF(D98&lt;C98,C98-D98,0)</f>
        <v>0</v>
      </c>
    </row>
    <row r="99" spans="1:14" ht="12.75">
      <c r="A99" s="804" t="s">
        <v>50</v>
      </c>
      <c r="B99" s="18" t="s">
        <v>30</v>
      </c>
      <c r="C99" s="19">
        <v>3192.5</v>
      </c>
      <c r="D99" s="814">
        <v>2491</v>
      </c>
      <c r="E99" s="75">
        <f>IF(C99&gt;=0.9*D99,D99,C99+0.1*D99)</f>
        <v>2491</v>
      </c>
      <c r="F99" s="17"/>
      <c r="G99" s="20">
        <f>E99+F99</f>
        <v>2491</v>
      </c>
      <c r="H99" s="21">
        <v>1.6221738449490994</v>
      </c>
      <c r="I99" s="17">
        <f>E99*H99</f>
        <v>4040.8350477682066</v>
      </c>
      <c r="J99" s="22"/>
      <c r="K99" s="23">
        <f>SUM(I99:J99)</f>
        <v>4040.8350477682066</v>
      </c>
      <c r="L99" s="75"/>
      <c r="M99" s="815">
        <f>IF(D99&gt;C99,C99-D99,0)</f>
        <v>0</v>
      </c>
      <c r="N99" s="24">
        <f>IF(D99&lt;C99,C99-D99,0)</f>
        <v>701.5</v>
      </c>
    </row>
    <row r="100" spans="1:14" ht="12.75">
      <c r="A100" s="25" t="s">
        <v>50</v>
      </c>
      <c r="B100" s="26" t="s">
        <v>31</v>
      </c>
      <c r="C100" s="27">
        <v>362.5</v>
      </c>
      <c r="D100" s="816">
        <v>436</v>
      </c>
      <c r="E100" s="75">
        <f>IF(C100&gt;=0.9*D100,D100,C100+0.1*D100)</f>
        <v>406.1</v>
      </c>
      <c r="F100" s="827"/>
      <c r="G100" s="20">
        <f>E100+F100</f>
        <v>406.1</v>
      </c>
      <c r="H100" s="29">
        <v>1.7911172413793102</v>
      </c>
      <c r="I100" s="17">
        <f>E100*H100</f>
        <v>727.3727117241378</v>
      </c>
      <c r="J100" s="28"/>
      <c r="K100" s="23">
        <f>SUM(I100:J100)</f>
        <v>727.3727117241378</v>
      </c>
      <c r="L100" s="80"/>
      <c r="M100" s="815">
        <f>IF(D100&gt;C100,C100-D100,0)</f>
        <v>-73.5</v>
      </c>
      <c r="N100" s="24">
        <f>IF(D100&lt;C100,C100-D100,0)</f>
        <v>0</v>
      </c>
    </row>
    <row r="101" spans="1:14" ht="13.5" thickBot="1">
      <c r="A101" s="828" t="s">
        <v>50</v>
      </c>
      <c r="B101" s="30" t="s">
        <v>32</v>
      </c>
      <c r="C101" s="19">
        <v>12316.5</v>
      </c>
      <c r="D101" s="814">
        <v>11099</v>
      </c>
      <c r="E101" s="75">
        <f>IF(C101&lt;D101,C101,D101)</f>
        <v>11099</v>
      </c>
      <c r="F101" s="827"/>
      <c r="G101" s="20">
        <f>E101+F101</f>
        <v>11099</v>
      </c>
      <c r="H101" s="21">
        <v>1.6854203710469695</v>
      </c>
      <c r="I101" s="17">
        <f>E101*H101</f>
        <v>18706.480698250314</v>
      </c>
      <c r="J101" s="28"/>
      <c r="K101" s="23">
        <f>SUM(I101:J101)</f>
        <v>18706.480698250314</v>
      </c>
      <c r="L101" s="80"/>
      <c r="M101" s="815">
        <f>IF(D101&gt;C101,C101-D101,0)</f>
        <v>0</v>
      </c>
      <c r="N101" s="24">
        <f>IF(D101&lt;C101,C101-D101,0)</f>
        <v>1217.5</v>
      </c>
    </row>
    <row r="102" spans="1:14" ht="13.5" thickBot="1">
      <c r="A102" s="31" t="s">
        <v>50</v>
      </c>
      <c r="B102" s="32" t="s">
        <v>33</v>
      </c>
      <c r="C102" s="818">
        <v>21494.5</v>
      </c>
      <c r="D102" s="819">
        <f>SUM(D97:D101)</f>
        <v>19289</v>
      </c>
      <c r="E102" s="819">
        <f>SUM(E97:E101)</f>
        <v>19259.1</v>
      </c>
      <c r="F102" s="820">
        <f>SUM(F97:F101)</f>
        <v>0</v>
      </c>
      <c r="G102" s="821">
        <f>SUM(G97:G101)</f>
        <v>19259.1</v>
      </c>
      <c r="H102" s="820"/>
      <c r="I102" s="820">
        <f>SUM(I97:I101)</f>
        <v>32607.954330052813</v>
      </c>
      <c r="J102" s="820">
        <f>SUM(J97:J101)</f>
        <v>0</v>
      </c>
      <c r="K102" s="822">
        <f>SUM(K97:K101)</f>
        <v>32607.954330052813</v>
      </c>
      <c r="L102" s="823">
        <f>ROUND(K102*$N$155/$K$150,0)</f>
        <v>857342</v>
      </c>
      <c r="M102" s="824">
        <f>SUM(M97:M101)</f>
        <v>-73.5</v>
      </c>
      <c r="N102" s="825">
        <f>SUM(N97:N101)</f>
        <v>2279</v>
      </c>
    </row>
    <row r="103" spans="1:14" ht="12.75">
      <c r="A103" s="829" t="s">
        <v>51</v>
      </c>
      <c r="B103" s="18" t="s">
        <v>28</v>
      </c>
      <c r="C103" s="19">
        <v>5215.5</v>
      </c>
      <c r="D103" s="814">
        <v>5298</v>
      </c>
      <c r="E103" s="75">
        <f>IF(C103&gt;=0.9*D103,D103,C103+0.1*D103)</f>
        <v>5298</v>
      </c>
      <c r="F103" s="17"/>
      <c r="G103" s="20">
        <f>E103+F103</f>
        <v>5298</v>
      </c>
      <c r="H103" s="21">
        <v>1.5383702425462564</v>
      </c>
      <c r="I103" s="17">
        <f>E103*H103</f>
        <v>8150.285545010067</v>
      </c>
      <c r="J103" s="22"/>
      <c r="K103" s="23">
        <f>SUM(I103:J103)</f>
        <v>8150.285545010067</v>
      </c>
      <c r="L103" s="75"/>
      <c r="M103" s="815">
        <f>IF(D103&gt;C103,C103-D103,0)</f>
        <v>-82.5</v>
      </c>
      <c r="N103" s="24">
        <f>IF(D103&lt;C103,C103-D103,0)</f>
        <v>0</v>
      </c>
    </row>
    <row r="104" spans="1:14" ht="12.75">
      <c r="A104" s="813" t="s">
        <v>51</v>
      </c>
      <c r="B104" s="18" t="s">
        <v>29</v>
      </c>
      <c r="C104" s="19">
        <v>0</v>
      </c>
      <c r="D104" s="814">
        <v>0</v>
      </c>
      <c r="E104" s="75">
        <f>IF(C104&gt;=0.9*D104,D104,C104+0.1*D104)</f>
        <v>0</v>
      </c>
      <c r="F104" s="17"/>
      <c r="G104" s="20">
        <f>E104+F104</f>
        <v>0</v>
      </c>
      <c r="H104" s="21"/>
      <c r="I104" s="17">
        <f>E104*H104</f>
        <v>0</v>
      </c>
      <c r="J104" s="22"/>
      <c r="K104" s="23">
        <f>SUM(I104:J104)</f>
        <v>0</v>
      </c>
      <c r="L104" s="75"/>
      <c r="M104" s="815">
        <f>IF(D104&gt;C104,C104-D104,0)</f>
        <v>0</v>
      </c>
      <c r="N104" s="24">
        <f>IF(D104&lt;C104,C104-D104,0)</f>
        <v>0</v>
      </c>
    </row>
    <row r="105" spans="1:14" ht="12.75">
      <c r="A105" s="813" t="s">
        <v>51</v>
      </c>
      <c r="B105" s="18" t="s">
        <v>30</v>
      </c>
      <c r="C105" s="19">
        <v>2655</v>
      </c>
      <c r="D105" s="814">
        <v>2213</v>
      </c>
      <c r="E105" s="75">
        <f>IF(C105&gt;=0.9*D105,D105,C105+0.1*D105)</f>
        <v>2213</v>
      </c>
      <c r="F105" s="17"/>
      <c r="G105" s="20">
        <f>E105+F105</f>
        <v>2213</v>
      </c>
      <c r="H105" s="21">
        <v>1.4799811676082861</v>
      </c>
      <c r="I105" s="17">
        <f>E105*H105</f>
        <v>3275.1983239171373</v>
      </c>
      <c r="J105" s="22"/>
      <c r="K105" s="23">
        <f>SUM(I105:J105)</f>
        <v>3275.1983239171373</v>
      </c>
      <c r="L105" s="75"/>
      <c r="M105" s="815">
        <f>IF(D105&gt;C105,C105-D105,0)</f>
        <v>0</v>
      </c>
      <c r="N105" s="24">
        <f>IF(D105&lt;C105,C105-D105,0)</f>
        <v>442</v>
      </c>
    </row>
    <row r="106" spans="1:14" ht="12.75">
      <c r="A106" s="25" t="s">
        <v>51</v>
      </c>
      <c r="B106" s="26" t="s">
        <v>31</v>
      </c>
      <c r="C106" s="27">
        <v>336.5</v>
      </c>
      <c r="D106" s="816">
        <v>300</v>
      </c>
      <c r="E106" s="75">
        <f>IF(C106&gt;=0.9*D106,D106,C106+0.1*D106)</f>
        <v>300</v>
      </c>
      <c r="F106" s="827"/>
      <c r="G106" s="20">
        <f>E106+F106</f>
        <v>300</v>
      </c>
      <c r="H106" s="29">
        <v>1.68407132243685</v>
      </c>
      <c r="I106" s="17">
        <f>E106*H106</f>
        <v>505.221396731055</v>
      </c>
      <c r="J106" s="28"/>
      <c r="K106" s="23">
        <f>SUM(I106:J106)</f>
        <v>505.221396731055</v>
      </c>
      <c r="L106" s="80"/>
      <c r="M106" s="815">
        <f>IF(D106&gt;C106,C106-D106,0)</f>
        <v>0</v>
      </c>
      <c r="N106" s="24">
        <f>IF(D106&lt;C106,C106-D106,0)</f>
        <v>36.5</v>
      </c>
    </row>
    <row r="107" spans="1:14" ht="13.5" thickBot="1">
      <c r="A107" s="817" t="s">
        <v>51</v>
      </c>
      <c r="B107" s="30" t="s">
        <v>32</v>
      </c>
      <c r="C107" s="19">
        <v>10168.5</v>
      </c>
      <c r="D107" s="814">
        <v>9603</v>
      </c>
      <c r="E107" s="75">
        <f>IF(C107&lt;D107,C107,D107)</f>
        <v>9603</v>
      </c>
      <c r="F107" s="827"/>
      <c r="G107" s="20">
        <f>E107+F107</f>
        <v>9603</v>
      </c>
      <c r="H107" s="21">
        <v>1.5120932290898361</v>
      </c>
      <c r="I107" s="17">
        <f>E107*H107</f>
        <v>14520.631278949697</v>
      </c>
      <c r="J107" s="28"/>
      <c r="K107" s="23">
        <f>SUM(I107:J107)</f>
        <v>14520.631278949697</v>
      </c>
      <c r="L107" s="80"/>
      <c r="M107" s="815">
        <f>IF(D107&gt;C107,C107-D107,0)</f>
        <v>0</v>
      </c>
      <c r="N107" s="24">
        <f>IF(D107&lt;C107,C107-D107,0)</f>
        <v>565.5</v>
      </c>
    </row>
    <row r="108" spans="1:14" ht="13.5" thickBot="1">
      <c r="A108" s="31" t="s">
        <v>51</v>
      </c>
      <c r="B108" s="32" t="s">
        <v>33</v>
      </c>
      <c r="C108" s="818">
        <v>18375.5</v>
      </c>
      <c r="D108" s="819">
        <f>SUM(D103:D107)</f>
        <v>17414</v>
      </c>
      <c r="E108" s="819">
        <f>SUM(E103:E107)</f>
        <v>17414</v>
      </c>
      <c r="F108" s="820">
        <f>SUM(F103:F107)</f>
        <v>0</v>
      </c>
      <c r="G108" s="821">
        <f>SUM(G103:G107)</f>
        <v>17414</v>
      </c>
      <c r="H108" s="820"/>
      <c r="I108" s="820">
        <f>SUM(I103:I107)</f>
        <v>26451.336544607955</v>
      </c>
      <c r="J108" s="820">
        <f>SUM(J103:J107)</f>
        <v>0</v>
      </c>
      <c r="K108" s="822">
        <f>SUM(K103:K107)</f>
        <v>26451.336544607955</v>
      </c>
      <c r="L108" s="823">
        <f>ROUND(K108*$N$155/$K$150,0)</f>
        <v>695469</v>
      </c>
      <c r="M108" s="824">
        <f>SUM(M103:M107)</f>
        <v>-82.5</v>
      </c>
      <c r="N108" s="825">
        <f>SUM(N103:N107)</f>
        <v>1044</v>
      </c>
    </row>
    <row r="109" spans="1:14" ht="12.75">
      <c r="A109" s="826" t="s">
        <v>52</v>
      </c>
      <c r="B109" s="18" t="s">
        <v>28</v>
      </c>
      <c r="C109" s="19">
        <v>3109.5</v>
      </c>
      <c r="D109" s="814">
        <v>2526</v>
      </c>
      <c r="E109" s="75">
        <f>IF(C109&gt;=0.9*D109,D109,C109+0.1*D109)</f>
        <v>2526</v>
      </c>
      <c r="F109" s="17"/>
      <c r="G109" s="20">
        <f>E109+F109</f>
        <v>2526</v>
      </c>
      <c r="H109" s="21">
        <v>1.768914616497829</v>
      </c>
      <c r="I109" s="17">
        <f>E109*H109</f>
        <v>4468.278321273517</v>
      </c>
      <c r="J109" s="22"/>
      <c r="K109" s="23">
        <f>SUM(I109:J109)</f>
        <v>4468.278321273517</v>
      </c>
      <c r="L109" s="75"/>
      <c r="M109" s="815">
        <f>IF(D109&gt;C109,C109-D109,0)</f>
        <v>0</v>
      </c>
      <c r="N109" s="24">
        <f>IF(D109&lt;C109,C109-D109,0)</f>
        <v>583.5</v>
      </c>
    </row>
    <row r="110" spans="1:14" ht="12.75">
      <c r="A110" s="813" t="s">
        <v>52</v>
      </c>
      <c r="B110" s="18" t="s">
        <v>29</v>
      </c>
      <c r="C110" s="19">
        <v>0</v>
      </c>
      <c r="D110" s="814">
        <v>0</v>
      </c>
      <c r="E110" s="75">
        <f>IF(C110&gt;=0.9*D110,D110,C110+0.1*D110)</f>
        <v>0</v>
      </c>
      <c r="F110" s="17"/>
      <c r="G110" s="20">
        <f>E110+F110</f>
        <v>0</v>
      </c>
      <c r="H110" s="21"/>
      <c r="I110" s="17">
        <f>E110*H110</f>
        <v>0</v>
      </c>
      <c r="J110" s="22"/>
      <c r="K110" s="23">
        <f>SUM(I110:J110)</f>
        <v>0</v>
      </c>
      <c r="L110" s="75"/>
      <c r="M110" s="815">
        <f>IF(D110&gt;C110,C110-D110,0)</f>
        <v>0</v>
      </c>
      <c r="N110" s="24">
        <f>IF(D110&lt;C110,C110-D110,0)</f>
        <v>0</v>
      </c>
    </row>
    <row r="111" spans="1:14" ht="12.75">
      <c r="A111" s="813" t="s">
        <v>52</v>
      </c>
      <c r="B111" s="18" t="s">
        <v>30</v>
      </c>
      <c r="C111" s="19">
        <v>1510.5</v>
      </c>
      <c r="D111" s="814">
        <v>1300</v>
      </c>
      <c r="E111" s="75">
        <f>IF(C111&gt;=0.9*D111,D111,C111+0.1*D111)</f>
        <v>1300</v>
      </c>
      <c r="F111" s="17"/>
      <c r="G111" s="20">
        <f>E111+F111</f>
        <v>1300</v>
      </c>
      <c r="H111" s="21">
        <v>1.7369943727242636</v>
      </c>
      <c r="I111" s="17">
        <f>E111*H111</f>
        <v>2258.092684541543</v>
      </c>
      <c r="J111" s="22"/>
      <c r="K111" s="23">
        <f>SUM(I111:J111)</f>
        <v>2258.092684541543</v>
      </c>
      <c r="L111" s="75"/>
      <c r="M111" s="815">
        <f>IF(D111&gt;C111,C111-D111,0)</f>
        <v>0</v>
      </c>
      <c r="N111" s="24">
        <f>IF(D111&lt;C111,C111-D111,0)</f>
        <v>210.5</v>
      </c>
    </row>
    <row r="112" spans="1:14" ht="12.75">
      <c r="A112" s="25" t="s">
        <v>52</v>
      </c>
      <c r="B112" s="26" t="s">
        <v>31</v>
      </c>
      <c r="C112" s="27">
        <v>94</v>
      </c>
      <c r="D112" s="816">
        <v>101</v>
      </c>
      <c r="E112" s="75">
        <f>IF(C112&gt;=0.9*D112,D112,C112+0.1*D112)</f>
        <v>101</v>
      </c>
      <c r="F112" s="827"/>
      <c r="G112" s="20">
        <f>E112+F112</f>
        <v>101</v>
      </c>
      <c r="H112" s="29">
        <v>2.131382978723404</v>
      </c>
      <c r="I112" s="17">
        <f>E112*H112</f>
        <v>215.2696808510638</v>
      </c>
      <c r="J112" s="28"/>
      <c r="K112" s="23">
        <f>SUM(I112:J112)</f>
        <v>215.2696808510638</v>
      </c>
      <c r="L112" s="80"/>
      <c r="M112" s="815">
        <f>IF(D112&gt;C112,C112-D112,0)</f>
        <v>-7</v>
      </c>
      <c r="N112" s="24">
        <f>IF(D112&lt;C112,C112-D112,0)</f>
        <v>0</v>
      </c>
    </row>
    <row r="113" spans="1:14" ht="13.5" thickBot="1">
      <c r="A113" s="817" t="s">
        <v>52</v>
      </c>
      <c r="B113" s="30" t="s">
        <v>32</v>
      </c>
      <c r="C113" s="19">
        <v>6521.5</v>
      </c>
      <c r="D113" s="814">
        <v>6138</v>
      </c>
      <c r="E113" s="75">
        <f>IF(C113&lt;D113,C113,D113)</f>
        <v>6138</v>
      </c>
      <c r="F113" s="827"/>
      <c r="G113" s="20">
        <f>E113+F113</f>
        <v>6138</v>
      </c>
      <c r="H113" s="21">
        <v>1.6765238058728822</v>
      </c>
      <c r="I113" s="17">
        <f>E113*H113</f>
        <v>10290.503120447751</v>
      </c>
      <c r="J113" s="28"/>
      <c r="K113" s="23">
        <f>SUM(I113:J113)</f>
        <v>10290.503120447751</v>
      </c>
      <c r="L113" s="80"/>
      <c r="M113" s="815">
        <f>IF(D113&gt;C113,C113-D113,0)</f>
        <v>0</v>
      </c>
      <c r="N113" s="24">
        <f>IF(D113&lt;C113,C113-D113,0)</f>
        <v>383.5</v>
      </c>
    </row>
    <row r="114" spans="1:14" ht="13.5" thickBot="1">
      <c r="A114" s="31" t="s">
        <v>52</v>
      </c>
      <c r="B114" s="32" t="s">
        <v>33</v>
      </c>
      <c r="C114" s="818">
        <v>11235.5</v>
      </c>
      <c r="D114" s="819">
        <f>SUM(D109:D113)</f>
        <v>10065</v>
      </c>
      <c r="E114" s="819">
        <f>SUM(E109:E113)</f>
        <v>10065</v>
      </c>
      <c r="F114" s="820">
        <f>SUM(F109:F113)</f>
        <v>0</v>
      </c>
      <c r="G114" s="821">
        <f>SUM(G109:G113)</f>
        <v>10065</v>
      </c>
      <c r="H114" s="820"/>
      <c r="I114" s="820">
        <f>SUM(I109:I113)</f>
        <v>17232.143807113873</v>
      </c>
      <c r="J114" s="820">
        <f>SUM(J109:J113)</f>
        <v>0</v>
      </c>
      <c r="K114" s="822">
        <f>SUM(K109:K113)</f>
        <v>17232.143807113873</v>
      </c>
      <c r="L114" s="823">
        <f>ROUND(K114*$N$155/$K$150,0)</f>
        <v>453074</v>
      </c>
      <c r="M114" s="824">
        <f>SUM(M109:M113)</f>
        <v>-7</v>
      </c>
      <c r="N114" s="825">
        <f>SUM(N109:N113)</f>
        <v>1177.5</v>
      </c>
    </row>
    <row r="115" spans="1:14" ht="12.75">
      <c r="A115" s="829" t="s">
        <v>53</v>
      </c>
      <c r="B115" s="18" t="s">
        <v>28</v>
      </c>
      <c r="C115" s="19">
        <v>3492.5</v>
      </c>
      <c r="D115" s="814">
        <v>3659</v>
      </c>
      <c r="E115" s="75">
        <f>IF(C115&gt;=0.9*D115,D115,C115+0.1*D115)</f>
        <v>3659</v>
      </c>
      <c r="F115" s="17"/>
      <c r="G115" s="20">
        <f>E115+F115</f>
        <v>3659</v>
      </c>
      <c r="H115" s="21">
        <v>1.1085984251968504</v>
      </c>
      <c r="I115" s="17">
        <f>E115*H115</f>
        <v>4056.3616377952753</v>
      </c>
      <c r="J115" s="22"/>
      <c r="K115" s="23">
        <f>SUM(I115:J115)</f>
        <v>4056.3616377952753</v>
      </c>
      <c r="L115" s="75"/>
      <c r="M115" s="815">
        <f>IF(D115&gt;C115,C115-D115,0)</f>
        <v>-166.5</v>
      </c>
      <c r="N115" s="24">
        <f>IF(D115&lt;C115,C115-D115,0)</f>
        <v>0</v>
      </c>
    </row>
    <row r="116" spans="1:14" ht="12.75">
      <c r="A116" s="813" t="s">
        <v>53</v>
      </c>
      <c r="B116" s="18" t="s">
        <v>29</v>
      </c>
      <c r="C116" s="19">
        <v>0</v>
      </c>
      <c r="D116" s="814">
        <v>0</v>
      </c>
      <c r="E116" s="75">
        <f>IF(C116&gt;=0.9*D116,D116,C116+0.1*D116)</f>
        <v>0</v>
      </c>
      <c r="F116" s="17"/>
      <c r="G116" s="20">
        <f>E116+F116</f>
        <v>0</v>
      </c>
      <c r="H116" s="21"/>
      <c r="I116" s="17">
        <f>E116*H116</f>
        <v>0</v>
      </c>
      <c r="J116" s="22"/>
      <c r="K116" s="23">
        <f>SUM(I116:J116)</f>
        <v>0</v>
      </c>
      <c r="L116" s="75"/>
      <c r="M116" s="815">
        <f>IF(D116&gt;C116,C116-D116,0)</f>
        <v>0</v>
      </c>
      <c r="N116" s="24">
        <f>IF(D116&lt;C116,C116-D116,0)</f>
        <v>0</v>
      </c>
    </row>
    <row r="117" spans="1:14" ht="12.75">
      <c r="A117" s="813" t="s">
        <v>53</v>
      </c>
      <c r="B117" s="18" t="s">
        <v>30</v>
      </c>
      <c r="C117" s="19">
        <v>2403</v>
      </c>
      <c r="D117" s="814">
        <v>2358</v>
      </c>
      <c r="E117" s="75">
        <f>IF(C117&gt;=0.9*D117,D117,C117+0.1*D117)</f>
        <v>2358</v>
      </c>
      <c r="F117" s="17"/>
      <c r="G117" s="20">
        <f>E117+F117</f>
        <v>2358</v>
      </c>
      <c r="H117" s="21">
        <v>1.0754681647940074</v>
      </c>
      <c r="I117" s="17">
        <f>E117*H117</f>
        <v>2535.9539325842693</v>
      </c>
      <c r="J117" s="22"/>
      <c r="K117" s="23">
        <f>SUM(I117:J117)</f>
        <v>2535.9539325842693</v>
      </c>
      <c r="L117" s="75"/>
      <c r="M117" s="815">
        <f>IF(D117&gt;C117,C117-D117,0)</f>
        <v>0</v>
      </c>
      <c r="N117" s="24">
        <f>IF(D117&lt;C117,C117-D117,0)</f>
        <v>45</v>
      </c>
    </row>
    <row r="118" spans="1:14" ht="12.75">
      <c r="A118" s="25" t="s">
        <v>53</v>
      </c>
      <c r="B118" s="26" t="s">
        <v>31</v>
      </c>
      <c r="C118" s="27">
        <v>163</v>
      </c>
      <c r="D118" s="816">
        <v>152</v>
      </c>
      <c r="E118" s="75">
        <f>IF(C118&gt;=0.9*D118,D118,C118+0.1*D118)</f>
        <v>152</v>
      </c>
      <c r="F118" s="827"/>
      <c r="G118" s="20">
        <f>E118+F118</f>
        <v>152</v>
      </c>
      <c r="H118" s="29">
        <v>1.0638036809815952</v>
      </c>
      <c r="I118" s="17">
        <f>E118*H118</f>
        <v>161.69815950920247</v>
      </c>
      <c r="J118" s="28"/>
      <c r="K118" s="23">
        <f>SUM(I118:J118)</f>
        <v>161.69815950920247</v>
      </c>
      <c r="L118" s="80"/>
      <c r="M118" s="815">
        <f>IF(D118&gt;C118,C118-D118,0)</f>
        <v>0</v>
      </c>
      <c r="N118" s="24">
        <f>IF(D118&lt;C118,C118-D118,0)</f>
        <v>11</v>
      </c>
    </row>
    <row r="119" spans="1:14" ht="13.5" thickBot="1">
      <c r="A119" s="817" t="s">
        <v>53</v>
      </c>
      <c r="B119" s="30" t="s">
        <v>32</v>
      </c>
      <c r="C119" s="19">
        <v>9957</v>
      </c>
      <c r="D119" s="814">
        <v>9853</v>
      </c>
      <c r="E119" s="75">
        <f>IF(C119&lt;D119,C119,D119)</f>
        <v>9853</v>
      </c>
      <c r="F119" s="827"/>
      <c r="G119" s="20">
        <f>E119+F119</f>
        <v>9853</v>
      </c>
      <c r="H119" s="21">
        <v>1.07415988751632</v>
      </c>
      <c r="I119" s="17">
        <f>E119*H119</f>
        <v>10583.697371698301</v>
      </c>
      <c r="J119" s="28"/>
      <c r="K119" s="23">
        <f>SUM(I119:J119)</f>
        <v>10583.697371698301</v>
      </c>
      <c r="L119" s="80"/>
      <c r="M119" s="815">
        <f>IF(D119&gt;C119,C119-D119,0)</f>
        <v>0</v>
      </c>
      <c r="N119" s="24">
        <f>IF(D119&lt;C119,C119-D119,0)</f>
        <v>104</v>
      </c>
    </row>
    <row r="120" spans="1:14" ht="13.5" thickBot="1">
      <c r="A120" s="31" t="s">
        <v>53</v>
      </c>
      <c r="B120" s="32" t="s">
        <v>33</v>
      </c>
      <c r="C120" s="818">
        <v>16015.5</v>
      </c>
      <c r="D120" s="819">
        <f>SUM(D115:D119)</f>
        <v>16022</v>
      </c>
      <c r="E120" s="819">
        <f>SUM(E115:E119)</f>
        <v>16022</v>
      </c>
      <c r="F120" s="820">
        <f>SUM(F115:F119)</f>
        <v>0</v>
      </c>
      <c r="G120" s="821">
        <f>SUM(G115:G119)</f>
        <v>16022</v>
      </c>
      <c r="H120" s="820"/>
      <c r="I120" s="820">
        <f>SUM(I115:I119)</f>
        <v>17337.711101587047</v>
      </c>
      <c r="J120" s="820">
        <f>SUM(J115:J119)</f>
        <v>0</v>
      </c>
      <c r="K120" s="822">
        <f>SUM(K115:K119)</f>
        <v>17337.711101587047</v>
      </c>
      <c r="L120" s="823">
        <f>ROUND(K120*$N$155/$K$150,0)</f>
        <v>455850</v>
      </c>
      <c r="M120" s="824">
        <f>SUM(M115:M119)</f>
        <v>-166.5</v>
      </c>
      <c r="N120" s="825">
        <f>SUM(N115:N119)</f>
        <v>160</v>
      </c>
    </row>
    <row r="121" spans="1:14" ht="12.75">
      <c r="A121" s="829" t="s">
        <v>54</v>
      </c>
      <c r="B121" s="18" t="s">
        <v>28</v>
      </c>
      <c r="C121" s="19">
        <v>6181.5</v>
      </c>
      <c r="D121" s="814">
        <v>4915</v>
      </c>
      <c r="E121" s="75">
        <f>IF(C121&gt;=0.9*D121,D121,C121+0.1*D121)</f>
        <v>4915</v>
      </c>
      <c r="F121" s="17"/>
      <c r="G121" s="20">
        <f>E121+F121</f>
        <v>4915</v>
      </c>
      <c r="H121" s="21">
        <v>1.6533964248159831</v>
      </c>
      <c r="I121" s="17">
        <f>E121*H121</f>
        <v>8126.443427970557</v>
      </c>
      <c r="J121" s="22"/>
      <c r="K121" s="23">
        <f>SUM(I121:J121)</f>
        <v>8126.443427970557</v>
      </c>
      <c r="L121" s="75"/>
      <c r="M121" s="815">
        <f>IF(D121&gt;C121,C121-D121,0)</f>
        <v>0</v>
      </c>
      <c r="N121" s="24">
        <f>IF(D121&lt;C121,C121-D121,0)</f>
        <v>1266.5</v>
      </c>
    </row>
    <row r="122" spans="1:14" ht="12.75">
      <c r="A122" s="813" t="s">
        <v>54</v>
      </c>
      <c r="B122" s="18" t="s">
        <v>29</v>
      </c>
      <c r="C122" s="19">
        <v>0</v>
      </c>
      <c r="D122" s="814">
        <v>0</v>
      </c>
      <c r="E122" s="75">
        <f>IF(C122&gt;=0.9*D122,D122,C122+0.1*D122)</f>
        <v>0</v>
      </c>
      <c r="F122" s="17"/>
      <c r="G122" s="20">
        <f>E122+F122</f>
        <v>0</v>
      </c>
      <c r="H122" s="21"/>
      <c r="I122" s="17">
        <f>E122*H122</f>
        <v>0</v>
      </c>
      <c r="J122" s="22"/>
      <c r="K122" s="23">
        <f>SUM(I122:J122)</f>
        <v>0</v>
      </c>
      <c r="L122" s="75"/>
      <c r="M122" s="815">
        <f>IF(D122&gt;C122,C122-D122,0)</f>
        <v>0</v>
      </c>
      <c r="N122" s="24">
        <f>IF(D122&lt;C122,C122-D122,0)</f>
        <v>0</v>
      </c>
    </row>
    <row r="123" spans="1:14" ht="12.75">
      <c r="A123" s="813" t="s">
        <v>54</v>
      </c>
      <c r="B123" s="18" t="s">
        <v>30</v>
      </c>
      <c r="C123" s="19">
        <v>3784.5</v>
      </c>
      <c r="D123" s="814">
        <v>2234</v>
      </c>
      <c r="E123" s="75">
        <f>IF(C123&gt;=0.9*D123,D123,C123+0.1*D123)</f>
        <v>2234</v>
      </c>
      <c r="F123" s="17"/>
      <c r="G123" s="20">
        <f>E123+F123</f>
        <v>2234</v>
      </c>
      <c r="H123" s="21">
        <v>1.4665662571013345</v>
      </c>
      <c r="I123" s="17">
        <f>E123*H123</f>
        <v>3276.3090183643812</v>
      </c>
      <c r="J123" s="22"/>
      <c r="K123" s="23">
        <f>SUM(I123:J123)</f>
        <v>3276.3090183643812</v>
      </c>
      <c r="L123" s="75"/>
      <c r="M123" s="815">
        <f>IF(D123&gt;C123,C123-D123,0)</f>
        <v>0</v>
      </c>
      <c r="N123" s="24">
        <f>IF(D123&lt;C123,C123-D123,0)</f>
        <v>1550.5</v>
      </c>
    </row>
    <row r="124" spans="1:14" ht="12.75">
      <c r="A124" s="25" t="s">
        <v>54</v>
      </c>
      <c r="B124" s="26" t="s">
        <v>31</v>
      </c>
      <c r="C124" s="27">
        <v>224</v>
      </c>
      <c r="D124" s="816">
        <v>219</v>
      </c>
      <c r="E124" s="75">
        <f>IF(C124&gt;=0.9*D124,D124,C124+0.1*D124)</f>
        <v>219</v>
      </c>
      <c r="F124" s="827"/>
      <c r="G124" s="20">
        <f>E124+F124</f>
        <v>219</v>
      </c>
      <c r="H124" s="29">
        <v>1.8825892857142856</v>
      </c>
      <c r="I124" s="17">
        <f>E124*H124</f>
        <v>412.28705357142854</v>
      </c>
      <c r="J124" s="28"/>
      <c r="K124" s="23">
        <f>SUM(I124:J124)</f>
        <v>412.28705357142854</v>
      </c>
      <c r="L124" s="80"/>
      <c r="M124" s="815">
        <f>IF(D124&gt;C124,C124-D124,0)</f>
        <v>0</v>
      </c>
      <c r="N124" s="24">
        <f>IF(D124&lt;C124,C124-D124,0)</f>
        <v>5</v>
      </c>
    </row>
    <row r="125" spans="1:14" ht="13.5" thickBot="1">
      <c r="A125" s="817" t="s">
        <v>54</v>
      </c>
      <c r="B125" s="30" t="s">
        <v>32</v>
      </c>
      <c r="C125" s="19">
        <v>12025.5</v>
      </c>
      <c r="D125" s="814">
        <v>9533</v>
      </c>
      <c r="E125" s="75">
        <f>IF(C125&lt;D125,C125,D125)</f>
        <v>9533</v>
      </c>
      <c r="F125" s="827"/>
      <c r="G125" s="20">
        <f>E125+F125</f>
        <v>9533</v>
      </c>
      <c r="H125" s="21">
        <v>1.505302898008399</v>
      </c>
      <c r="I125" s="17">
        <f>E125*H125</f>
        <v>14350.052526714067</v>
      </c>
      <c r="J125" s="28"/>
      <c r="K125" s="23">
        <f>SUM(I125:J125)</f>
        <v>14350.052526714067</v>
      </c>
      <c r="L125" s="80"/>
      <c r="M125" s="815">
        <f>IF(D125&gt;C125,C125-D125,0)</f>
        <v>0</v>
      </c>
      <c r="N125" s="24">
        <f>IF(D125&lt;C125,C125-D125,0)</f>
        <v>2492.5</v>
      </c>
    </row>
    <row r="126" spans="1:14" ht="13.5" thickBot="1">
      <c r="A126" s="31" t="s">
        <v>54</v>
      </c>
      <c r="B126" s="32" t="s">
        <v>33</v>
      </c>
      <c r="C126" s="818">
        <v>22215.5</v>
      </c>
      <c r="D126" s="819">
        <f>SUM(D121:D125)</f>
        <v>16901</v>
      </c>
      <c r="E126" s="819">
        <f>SUM(E121:E125)</f>
        <v>16901</v>
      </c>
      <c r="F126" s="820">
        <f>SUM(F121:F125)</f>
        <v>0</v>
      </c>
      <c r="G126" s="821">
        <f>SUM(G121:G125)</f>
        <v>16901</v>
      </c>
      <c r="H126" s="820"/>
      <c r="I126" s="820">
        <f>SUM(I121:I125)</f>
        <v>26165.092026620434</v>
      </c>
      <c r="J126" s="820">
        <f>SUM(J121:J125)</f>
        <v>0</v>
      </c>
      <c r="K126" s="822">
        <f>SUM(K121:K125)</f>
        <v>26165.092026620434</v>
      </c>
      <c r="L126" s="823">
        <f>ROUND(K126*$N$155/$K$150,0)</f>
        <v>687943</v>
      </c>
      <c r="M126" s="824">
        <f>SUM(M121:M125)</f>
        <v>0</v>
      </c>
      <c r="N126" s="825">
        <f>SUM(N121:N125)</f>
        <v>5314.5</v>
      </c>
    </row>
    <row r="127" spans="1:14" ht="12.75">
      <c r="A127" s="829" t="s">
        <v>55</v>
      </c>
      <c r="B127" s="18" t="s">
        <v>28</v>
      </c>
      <c r="C127" s="19">
        <v>3169.5</v>
      </c>
      <c r="D127" s="814">
        <v>2305</v>
      </c>
      <c r="E127" s="75">
        <f>IF(C127&gt;=0.9*D127,D127,C127+0.1*D127)</f>
        <v>2305</v>
      </c>
      <c r="F127" s="17"/>
      <c r="G127" s="20">
        <f>E127+F127</f>
        <v>2305</v>
      </c>
      <c r="H127" s="21">
        <v>1.6985549771257296</v>
      </c>
      <c r="I127" s="17">
        <f>E127*H127</f>
        <v>3915.1692222748065</v>
      </c>
      <c r="J127" s="22"/>
      <c r="K127" s="23">
        <f>SUM(I127:J127)</f>
        <v>3915.1692222748065</v>
      </c>
      <c r="L127" s="75"/>
      <c r="M127" s="815">
        <f>IF(D127&gt;C127,C127-D127,0)</f>
        <v>0</v>
      </c>
      <c r="N127" s="24">
        <f>IF(D127&lt;C127,C127-D127,0)</f>
        <v>864.5</v>
      </c>
    </row>
    <row r="128" spans="1:14" ht="12.75">
      <c r="A128" s="813" t="s">
        <v>55</v>
      </c>
      <c r="B128" s="18" t="s">
        <v>29</v>
      </c>
      <c r="C128" s="19">
        <v>0</v>
      </c>
      <c r="D128" s="814">
        <v>0</v>
      </c>
      <c r="E128" s="75">
        <f>IF(C128&gt;=0.9*D128,D128,C128+0.1*D128)</f>
        <v>0</v>
      </c>
      <c r="F128" s="17"/>
      <c r="G128" s="20">
        <f>E128+F128</f>
        <v>0</v>
      </c>
      <c r="H128" s="21"/>
      <c r="I128" s="17">
        <f>E128*H128</f>
        <v>0</v>
      </c>
      <c r="J128" s="22"/>
      <c r="K128" s="23">
        <f>SUM(I128:J128)</f>
        <v>0</v>
      </c>
      <c r="L128" s="75"/>
      <c r="M128" s="815">
        <f>IF(D128&gt;C128,C128-D128,0)</f>
        <v>0</v>
      </c>
      <c r="N128" s="24">
        <f>IF(D128&lt;C128,C128-D128,0)</f>
        <v>0</v>
      </c>
    </row>
    <row r="129" spans="1:14" ht="12.75">
      <c r="A129" s="813" t="s">
        <v>55</v>
      </c>
      <c r="B129" s="18" t="s">
        <v>30</v>
      </c>
      <c r="C129" s="19">
        <v>1290</v>
      </c>
      <c r="D129" s="814">
        <v>996</v>
      </c>
      <c r="E129" s="75">
        <f>IF(C129&gt;=0.9*D129,D129,C129+0.1*D129)</f>
        <v>996</v>
      </c>
      <c r="F129" s="17"/>
      <c r="G129" s="20">
        <f>E129+F129</f>
        <v>996</v>
      </c>
      <c r="H129" s="21">
        <v>1.7542713178294576</v>
      </c>
      <c r="I129" s="17">
        <f>E129*H129</f>
        <v>1747.2542325581396</v>
      </c>
      <c r="J129" s="22"/>
      <c r="K129" s="23">
        <f>SUM(I129:J129)</f>
        <v>1747.2542325581396</v>
      </c>
      <c r="L129" s="75"/>
      <c r="M129" s="815">
        <f>IF(D129&gt;C129,C129-D129,0)</f>
        <v>0</v>
      </c>
      <c r="N129" s="24">
        <f>IF(D129&lt;C129,C129-D129,0)</f>
        <v>294</v>
      </c>
    </row>
    <row r="130" spans="1:14" ht="12.75">
      <c r="A130" s="25" t="s">
        <v>55</v>
      </c>
      <c r="B130" s="26" t="s">
        <v>31</v>
      </c>
      <c r="C130" s="27">
        <v>177.5</v>
      </c>
      <c r="D130" s="816">
        <v>165</v>
      </c>
      <c r="E130" s="75">
        <f>IF(C130&gt;=0.9*D130,D130,C130+0.1*D130)</f>
        <v>165</v>
      </c>
      <c r="F130" s="827"/>
      <c r="G130" s="20">
        <f>E130+F130</f>
        <v>165</v>
      </c>
      <c r="H130" s="29">
        <v>1.9329577464788734</v>
      </c>
      <c r="I130" s="17">
        <f>E130*H130</f>
        <v>318.9380281690141</v>
      </c>
      <c r="J130" s="28"/>
      <c r="K130" s="23">
        <f>SUM(I130:J130)</f>
        <v>318.9380281690141</v>
      </c>
      <c r="L130" s="80"/>
      <c r="M130" s="815">
        <f>IF(D130&gt;C130,C130-D130,0)</f>
        <v>0</v>
      </c>
      <c r="N130" s="24">
        <f>IF(D130&lt;C130,C130-D130,0)</f>
        <v>12.5</v>
      </c>
    </row>
    <row r="131" spans="1:14" ht="13.5" thickBot="1">
      <c r="A131" s="813" t="s">
        <v>55</v>
      </c>
      <c r="B131" s="30" t="s">
        <v>32</v>
      </c>
      <c r="C131" s="19">
        <v>5717.5</v>
      </c>
      <c r="D131" s="814">
        <v>5255</v>
      </c>
      <c r="E131" s="75">
        <f>IF(C131&lt;D131,C131,D131)</f>
        <v>5255</v>
      </c>
      <c r="F131" s="827"/>
      <c r="G131" s="20">
        <f>E131+F131</f>
        <v>5255</v>
      </c>
      <c r="H131" s="21">
        <v>1.7292155662439879</v>
      </c>
      <c r="I131" s="17">
        <f>E131*H131</f>
        <v>9087.027800612157</v>
      </c>
      <c r="J131" s="28"/>
      <c r="K131" s="23">
        <f>SUM(I131:J131)</f>
        <v>9087.027800612157</v>
      </c>
      <c r="L131" s="80"/>
      <c r="M131" s="815">
        <f>IF(D131&gt;C131,C131-D131,0)</f>
        <v>0</v>
      </c>
      <c r="N131" s="24">
        <f>IF(D131&lt;C131,C131-D131,0)</f>
        <v>462.5</v>
      </c>
    </row>
    <row r="132" spans="1:14" ht="13.5" thickBot="1">
      <c r="A132" s="31" t="s">
        <v>55</v>
      </c>
      <c r="B132" s="32" t="s">
        <v>33</v>
      </c>
      <c r="C132" s="818">
        <v>10354.5</v>
      </c>
      <c r="D132" s="819">
        <f>SUM(D127:D131)</f>
        <v>8721</v>
      </c>
      <c r="E132" s="819">
        <f>SUM(E127:E131)</f>
        <v>8721</v>
      </c>
      <c r="F132" s="820">
        <f>SUM(F127:F131)</f>
        <v>0</v>
      </c>
      <c r="G132" s="821">
        <f>SUM(G127:G131)</f>
        <v>8721</v>
      </c>
      <c r="H132" s="820"/>
      <c r="I132" s="820">
        <f>SUM(I127:I131)</f>
        <v>15068.389283614117</v>
      </c>
      <c r="J132" s="820">
        <f>SUM(J127:J131)</f>
        <v>0</v>
      </c>
      <c r="K132" s="822">
        <f>SUM(K127:K131)</f>
        <v>15068.389283614117</v>
      </c>
      <c r="L132" s="823">
        <f>ROUND(K132*$N$155/$K$150,0)</f>
        <v>396184</v>
      </c>
      <c r="M132" s="824">
        <f>SUM(M127:M131)</f>
        <v>0</v>
      </c>
      <c r="N132" s="825">
        <f>SUM(N127:N131)</f>
        <v>1633.5</v>
      </c>
    </row>
    <row r="133" spans="1:14" ht="12.75">
      <c r="A133" s="829" t="s">
        <v>56</v>
      </c>
      <c r="B133" s="18" t="s">
        <v>28</v>
      </c>
      <c r="C133" s="19">
        <v>1522</v>
      </c>
      <c r="D133" s="814">
        <v>1120</v>
      </c>
      <c r="E133" s="75">
        <f>IF(C133&gt;=0.9*D133,D133,C133+0.1*D133)</f>
        <v>1120</v>
      </c>
      <c r="F133" s="17"/>
      <c r="G133" s="20">
        <f>E133+F133</f>
        <v>1120</v>
      </c>
      <c r="H133" s="21">
        <v>1.2981274638633378</v>
      </c>
      <c r="I133" s="17">
        <f>E133*H133</f>
        <v>1453.9027595269383</v>
      </c>
      <c r="J133" s="22"/>
      <c r="K133" s="23">
        <f>SUM(I133:J133)</f>
        <v>1453.9027595269383</v>
      </c>
      <c r="L133" s="75"/>
      <c r="M133" s="815">
        <f>IF(D133&gt;C133,C133-D133,0)</f>
        <v>0</v>
      </c>
      <c r="N133" s="24">
        <f>IF(D133&lt;C133,C133-D133,0)</f>
        <v>402</v>
      </c>
    </row>
    <row r="134" spans="1:14" ht="12.75">
      <c r="A134" s="813" t="s">
        <v>56</v>
      </c>
      <c r="B134" s="18" t="s">
        <v>29</v>
      </c>
      <c r="C134" s="19">
        <v>0</v>
      </c>
      <c r="D134" s="814">
        <v>0</v>
      </c>
      <c r="E134" s="75">
        <f>IF(C134&gt;=0.9*D134,D134,C134+0.1*D134)</f>
        <v>0</v>
      </c>
      <c r="F134" s="17"/>
      <c r="G134" s="20">
        <f>E134+F134</f>
        <v>0</v>
      </c>
      <c r="H134" s="21"/>
      <c r="I134" s="17">
        <f>E134*H134</f>
        <v>0</v>
      </c>
      <c r="J134" s="22"/>
      <c r="K134" s="23">
        <f>SUM(I134:J134)</f>
        <v>0</v>
      </c>
      <c r="L134" s="75"/>
      <c r="M134" s="815">
        <f>IF(D134&gt;C134,C134-D134,0)</f>
        <v>0</v>
      </c>
      <c r="N134" s="24">
        <f>IF(D134&lt;C134,C134-D134,0)</f>
        <v>0</v>
      </c>
    </row>
    <row r="135" spans="1:14" ht="12.75">
      <c r="A135" s="813" t="s">
        <v>56</v>
      </c>
      <c r="B135" s="18" t="s">
        <v>30</v>
      </c>
      <c r="C135" s="19">
        <v>0</v>
      </c>
      <c r="D135" s="814">
        <v>0</v>
      </c>
      <c r="E135" s="75">
        <f>IF(C135&gt;=0.9*D135,D135,C135+0.1*D135)</f>
        <v>0</v>
      </c>
      <c r="F135" s="17"/>
      <c r="G135" s="20">
        <f>E135+F135</f>
        <v>0</v>
      </c>
      <c r="H135" s="21"/>
      <c r="I135" s="17">
        <f>E135*H135</f>
        <v>0</v>
      </c>
      <c r="J135" s="22"/>
      <c r="K135" s="23">
        <f>SUM(I135:J135)</f>
        <v>0</v>
      </c>
      <c r="L135" s="75"/>
      <c r="M135" s="815">
        <f>IF(D135&gt;C135,C135-D135,0)</f>
        <v>0</v>
      </c>
      <c r="N135" s="24">
        <f>IF(D135&lt;C135,C135-D135,0)</f>
        <v>0</v>
      </c>
    </row>
    <row r="136" spans="1:14" ht="12.75">
      <c r="A136" s="25" t="s">
        <v>57</v>
      </c>
      <c r="B136" s="26" t="s">
        <v>31</v>
      </c>
      <c r="C136" s="27">
        <v>0</v>
      </c>
      <c r="D136" s="816">
        <v>0</v>
      </c>
      <c r="E136" s="75">
        <f>IF(C136&gt;=0.9*D136,D136,C136+0.1*D136)</f>
        <v>0</v>
      </c>
      <c r="F136" s="827"/>
      <c r="G136" s="20">
        <f>E136+F136</f>
        <v>0</v>
      </c>
      <c r="H136" s="29"/>
      <c r="I136" s="17">
        <f>E136*H136</f>
        <v>0</v>
      </c>
      <c r="J136" s="28"/>
      <c r="K136" s="23">
        <f>SUM(I136:J136)</f>
        <v>0</v>
      </c>
      <c r="L136" s="80"/>
      <c r="M136" s="815">
        <f>IF(D136&gt;C136,C136-D136,0)</f>
        <v>0</v>
      </c>
      <c r="N136" s="24">
        <f>IF(D136&lt;C136,C136-D136,0)</f>
        <v>0</v>
      </c>
    </row>
    <row r="137" spans="1:14" ht="13.5" thickBot="1">
      <c r="A137" s="817" t="s">
        <v>56</v>
      </c>
      <c r="B137" s="30" t="s">
        <v>32</v>
      </c>
      <c r="C137" s="19">
        <v>1376</v>
      </c>
      <c r="D137" s="814">
        <v>1521</v>
      </c>
      <c r="E137" s="75">
        <f>IF(C137&lt;D137,C137,D137)</f>
        <v>1376</v>
      </c>
      <c r="F137" s="827"/>
      <c r="G137" s="20">
        <f>E137+F137</f>
        <v>1376</v>
      </c>
      <c r="H137" s="21">
        <v>1.3010755813953487</v>
      </c>
      <c r="I137" s="17">
        <f>E137*H137</f>
        <v>1790.2799999999997</v>
      </c>
      <c r="J137" s="28"/>
      <c r="K137" s="23">
        <f>SUM(I137:J137)</f>
        <v>1790.2799999999997</v>
      </c>
      <c r="L137" s="80"/>
      <c r="M137" s="815">
        <f>IF(D137&gt;C137,C137-D137,0)</f>
        <v>-145</v>
      </c>
      <c r="N137" s="24">
        <f>IF(D137&lt;C137,C137-D137,0)</f>
        <v>0</v>
      </c>
    </row>
    <row r="138" spans="1:14" ht="13.5" thickBot="1">
      <c r="A138" s="31" t="s">
        <v>56</v>
      </c>
      <c r="B138" s="32" t="s">
        <v>33</v>
      </c>
      <c r="C138" s="818">
        <v>2898</v>
      </c>
      <c r="D138" s="819">
        <f>SUM(D133:D137)</f>
        <v>2641</v>
      </c>
      <c r="E138" s="819">
        <f>SUM(E133:E137)</f>
        <v>2496</v>
      </c>
      <c r="F138" s="820">
        <f>SUM(F133:F137)</f>
        <v>0</v>
      </c>
      <c r="G138" s="821">
        <f>SUM(G133:G137)</f>
        <v>2496</v>
      </c>
      <c r="H138" s="820"/>
      <c r="I138" s="820">
        <f>SUM(I133:I137)</f>
        <v>3244.182759526938</v>
      </c>
      <c r="J138" s="820">
        <f>SUM(J133:J137)</f>
        <v>0</v>
      </c>
      <c r="K138" s="822">
        <f>SUM(K133:K137)</f>
        <v>3244.182759526938</v>
      </c>
      <c r="L138" s="823">
        <f>ROUND(K138*$N$155/$K$150,0)</f>
        <v>85297</v>
      </c>
      <c r="M138" s="824">
        <f>SUM(M133:M137)</f>
        <v>-145</v>
      </c>
      <c r="N138" s="825">
        <f>SUM(N133:N137)</f>
        <v>402</v>
      </c>
    </row>
    <row r="139" spans="1:14" ht="12.75">
      <c r="A139" s="829" t="s">
        <v>58</v>
      </c>
      <c r="B139" s="18" t="s">
        <v>28</v>
      </c>
      <c r="C139" s="19">
        <v>1541.5</v>
      </c>
      <c r="D139" s="979">
        <v>1375</v>
      </c>
      <c r="E139" s="75">
        <f>IF(C139&gt;=0.9*D139,D139,C139+0.1*D139)</f>
        <v>1375</v>
      </c>
      <c r="F139" s="17"/>
      <c r="G139" s="20">
        <f>E139+F139</f>
        <v>1375</v>
      </c>
      <c r="H139" s="21">
        <v>1.2886344469672397</v>
      </c>
      <c r="I139" s="17">
        <f>E139*H139</f>
        <v>1771.8723645799546</v>
      </c>
      <c r="J139" s="22"/>
      <c r="K139" s="23">
        <f>SUM(I139:J139)</f>
        <v>1771.8723645799546</v>
      </c>
      <c r="L139" s="75"/>
      <c r="M139" s="815">
        <f>IF(D139&gt;C139,C139-D139,0)</f>
        <v>0</v>
      </c>
      <c r="N139" s="24">
        <f>IF(D139&lt;C139,C139-D139,0)</f>
        <v>166.5</v>
      </c>
    </row>
    <row r="140" spans="1:14" ht="12.75">
      <c r="A140" s="813" t="s">
        <v>58</v>
      </c>
      <c r="B140" s="18" t="s">
        <v>29</v>
      </c>
      <c r="C140" s="19">
        <v>0</v>
      </c>
      <c r="D140" s="980">
        <v>0</v>
      </c>
      <c r="E140" s="75">
        <f>IF(C140&gt;=0.9*D140,D140,C140+0.1*D140)</f>
        <v>0</v>
      </c>
      <c r="F140" s="17"/>
      <c r="G140" s="20">
        <f>E140+F140</f>
        <v>0</v>
      </c>
      <c r="H140" s="21"/>
      <c r="I140" s="17">
        <f>E140*H140</f>
        <v>0</v>
      </c>
      <c r="J140" s="22"/>
      <c r="K140" s="23">
        <f>SUM(I140:J140)</f>
        <v>0</v>
      </c>
      <c r="L140" s="75"/>
      <c r="M140" s="815">
        <f>IF(D140&gt;C140,C140-D140,0)</f>
        <v>0</v>
      </c>
      <c r="N140" s="24">
        <f>IF(D140&lt;C140,C140-D140,0)</f>
        <v>0</v>
      </c>
    </row>
    <row r="141" spans="1:14" ht="12.75">
      <c r="A141" s="813" t="s">
        <v>58</v>
      </c>
      <c r="B141" s="18" t="s">
        <v>30</v>
      </c>
      <c r="C141" s="19">
        <v>0</v>
      </c>
      <c r="D141" s="980">
        <v>0</v>
      </c>
      <c r="E141" s="75">
        <f>IF(C141&gt;=0.9*D141,D141,C141+0.1*D141)</f>
        <v>0</v>
      </c>
      <c r="F141" s="17"/>
      <c r="G141" s="20">
        <f>E141+F141</f>
        <v>0</v>
      </c>
      <c r="H141" s="21"/>
      <c r="I141" s="17">
        <f>E141*H141</f>
        <v>0</v>
      </c>
      <c r="J141" s="22"/>
      <c r="K141" s="23">
        <f>SUM(I141:J141)</f>
        <v>0</v>
      </c>
      <c r="L141" s="75"/>
      <c r="M141" s="815">
        <f>IF(D141&gt;C141,C141-D141,0)</f>
        <v>0</v>
      </c>
      <c r="N141" s="24">
        <f>IF(D141&lt;C141,C141-D141,0)</f>
        <v>0</v>
      </c>
    </row>
    <row r="142" spans="1:14" ht="12.75">
      <c r="A142" s="25" t="s">
        <v>59</v>
      </c>
      <c r="B142" s="26" t="s">
        <v>31</v>
      </c>
      <c r="C142" s="27">
        <v>0</v>
      </c>
      <c r="D142" s="980">
        <v>0</v>
      </c>
      <c r="E142" s="75">
        <f>IF(C142&gt;=0.9*D142,D142,C142+0.1*D142)</f>
        <v>0</v>
      </c>
      <c r="F142" s="827"/>
      <c r="G142" s="20">
        <f>E142+F142</f>
        <v>0</v>
      </c>
      <c r="H142" s="29"/>
      <c r="I142" s="17">
        <f>E142*H142</f>
        <v>0</v>
      </c>
      <c r="J142" s="28"/>
      <c r="K142" s="23">
        <f>SUM(I142:J142)</f>
        <v>0</v>
      </c>
      <c r="L142" s="80"/>
      <c r="M142" s="815">
        <f>IF(D142&gt;C142,C142-D142,0)</f>
        <v>0</v>
      </c>
      <c r="N142" s="24">
        <f>IF(D142&lt;C142,C142-D142,0)</f>
        <v>0</v>
      </c>
    </row>
    <row r="143" spans="1:14" ht="13.5" thickBot="1">
      <c r="A143" s="817" t="s">
        <v>58</v>
      </c>
      <c r="B143" s="30" t="s">
        <v>32</v>
      </c>
      <c r="C143" s="19">
        <v>2328.5</v>
      </c>
      <c r="D143" s="981">
        <v>2052</v>
      </c>
      <c r="E143" s="75">
        <f>IF(C143&lt;D143,C143,D143)</f>
        <v>2052</v>
      </c>
      <c r="F143" s="827"/>
      <c r="G143" s="20">
        <f>E143+F143</f>
        <v>2052</v>
      </c>
      <c r="H143" s="21">
        <v>1.2180201846682412</v>
      </c>
      <c r="I143" s="17">
        <f>E143*H143</f>
        <v>2499.377418939231</v>
      </c>
      <c r="J143" s="28"/>
      <c r="K143" s="23">
        <f>SUM(I143:J143)</f>
        <v>2499.377418939231</v>
      </c>
      <c r="L143" s="80"/>
      <c r="M143" s="815">
        <f>IF(D143&gt;C143,C143-D143,0)</f>
        <v>0</v>
      </c>
      <c r="N143" s="24">
        <f>IF(D143&lt;C143,C143-D143,0)</f>
        <v>276.5</v>
      </c>
    </row>
    <row r="144" spans="1:14" ht="13.5" thickBot="1">
      <c r="A144" s="31" t="s">
        <v>58</v>
      </c>
      <c r="B144" s="32" t="s">
        <v>33</v>
      </c>
      <c r="C144" s="818">
        <v>3870</v>
      </c>
      <c r="D144" s="819">
        <f>SUM(D139:D143)</f>
        <v>3427</v>
      </c>
      <c r="E144" s="831">
        <f>SUM(E139:E143)</f>
        <v>3427</v>
      </c>
      <c r="F144" s="821">
        <f>SUM(F139:F143)</f>
        <v>0</v>
      </c>
      <c r="G144" s="821">
        <f>SUM(G139:G143)</f>
        <v>3427</v>
      </c>
      <c r="H144" s="820"/>
      <c r="I144" s="820">
        <f>SUM(I139:I143)</f>
        <v>4271.249783519186</v>
      </c>
      <c r="J144" s="820">
        <f>SUM(J139:J143)</f>
        <v>0</v>
      </c>
      <c r="K144" s="822">
        <f>SUM(K139:K143)</f>
        <v>4271.249783519186</v>
      </c>
      <c r="L144" s="823">
        <f>ROUND(K144*$N$155/$K$150,0)</f>
        <v>112301</v>
      </c>
      <c r="M144" s="824">
        <f>SUM(M139:M143)</f>
        <v>0</v>
      </c>
      <c r="N144" s="825">
        <f>SUM(N139:N143)</f>
        <v>443</v>
      </c>
    </row>
    <row r="145" spans="1:14" ht="12.75">
      <c r="A145" s="37" t="s">
        <v>60</v>
      </c>
      <c r="B145" s="38" t="s">
        <v>28</v>
      </c>
      <c r="C145" s="39">
        <f aca="true" t="shared" si="0" ref="C145:N145">C13+C19+C25+C31+C37+C43+C49+C55+C61+C67+C73+C79+C85+C91+C97+C103+C109+C115+C121+C127+C133+C139</f>
        <v>78933</v>
      </c>
      <c r="D145" s="39">
        <f t="shared" si="0"/>
        <v>72260</v>
      </c>
      <c r="E145" s="40">
        <f t="shared" si="0"/>
        <v>71930.5</v>
      </c>
      <c r="F145" s="41">
        <f t="shared" si="0"/>
        <v>0</v>
      </c>
      <c r="G145" s="42">
        <f t="shared" si="0"/>
        <v>71930.5</v>
      </c>
      <c r="H145" s="42">
        <f t="shared" si="0"/>
        <v>36.81087505426346</v>
      </c>
      <c r="I145" s="42">
        <f t="shared" si="0"/>
        <v>113487.70703869726</v>
      </c>
      <c r="J145" s="42">
        <f t="shared" si="0"/>
        <v>0</v>
      </c>
      <c r="K145" s="41">
        <f t="shared" si="0"/>
        <v>113487.70703869726</v>
      </c>
      <c r="L145" s="40">
        <f t="shared" si="0"/>
        <v>0</v>
      </c>
      <c r="M145" s="832">
        <f t="shared" si="0"/>
        <v>-1575.5</v>
      </c>
      <c r="N145" s="43">
        <f t="shared" si="0"/>
        <v>8248.5</v>
      </c>
    </row>
    <row r="146" spans="1:14" ht="12.75">
      <c r="A146" s="44" t="s">
        <v>60</v>
      </c>
      <c r="B146" s="45" t="s">
        <v>29</v>
      </c>
      <c r="C146" s="46">
        <f aca="true" t="shared" si="1" ref="C146:N146">C14+C20+C26+C32+C38+C44+C50+C56+C62+C68+C74+C80+C86+C92+C98+C104+C110+C116+C122+C128+C134+C140</f>
        <v>5610.5</v>
      </c>
      <c r="D146" s="39">
        <f t="shared" si="1"/>
        <v>5513</v>
      </c>
      <c r="E146" s="47">
        <f t="shared" si="1"/>
        <v>5513</v>
      </c>
      <c r="F146" s="48">
        <f t="shared" si="1"/>
        <v>291.5</v>
      </c>
      <c r="G146" s="49">
        <f t="shared" si="1"/>
        <v>5804.5</v>
      </c>
      <c r="H146" s="49">
        <f t="shared" si="1"/>
        <v>16.152671534060474</v>
      </c>
      <c r="I146" s="49">
        <f t="shared" si="1"/>
        <v>10388.212298902574</v>
      </c>
      <c r="J146" s="49">
        <f t="shared" si="1"/>
        <v>1020.25</v>
      </c>
      <c r="K146" s="48">
        <f t="shared" si="1"/>
        <v>11408.462298902574</v>
      </c>
      <c r="L146" s="47">
        <f t="shared" si="1"/>
        <v>0</v>
      </c>
      <c r="M146" s="833">
        <f t="shared" si="1"/>
        <v>-108.5</v>
      </c>
      <c r="N146" s="50">
        <f t="shared" si="1"/>
        <v>206</v>
      </c>
    </row>
    <row r="147" spans="1:14" ht="12.75">
      <c r="A147" s="44" t="s">
        <v>60</v>
      </c>
      <c r="B147" s="45" t="s">
        <v>30</v>
      </c>
      <c r="C147" s="46">
        <f aca="true" t="shared" si="2" ref="C147:N147">C15+C21+C27+C33+C39+C45+C51+C57+C63+C69+C75+C81+C87+C93+C99+C105+C111+C117+C123+C129+C135+C141</f>
        <v>35008</v>
      </c>
      <c r="D147" s="39">
        <f t="shared" si="2"/>
        <v>29279</v>
      </c>
      <c r="E147" s="47">
        <f t="shared" si="2"/>
        <v>29279</v>
      </c>
      <c r="F147" s="48">
        <f t="shared" si="2"/>
        <v>0</v>
      </c>
      <c r="G147" s="49">
        <f t="shared" si="2"/>
        <v>29279</v>
      </c>
      <c r="H147" s="49">
        <f t="shared" si="2"/>
        <v>33.23309489348669</v>
      </c>
      <c r="I147" s="49">
        <f t="shared" si="2"/>
        <v>44089.114001513415</v>
      </c>
      <c r="J147" s="49">
        <f t="shared" si="2"/>
        <v>0</v>
      </c>
      <c r="K147" s="48">
        <f t="shared" si="2"/>
        <v>44089.114001513415</v>
      </c>
      <c r="L147" s="47">
        <f t="shared" si="2"/>
        <v>0</v>
      </c>
      <c r="M147" s="833">
        <f t="shared" si="2"/>
        <v>-61.5</v>
      </c>
      <c r="N147" s="50">
        <f t="shared" si="2"/>
        <v>5790.5</v>
      </c>
    </row>
    <row r="148" spans="1:14" ht="12.75">
      <c r="A148" s="44" t="s">
        <v>60</v>
      </c>
      <c r="B148" s="45" t="s">
        <v>31</v>
      </c>
      <c r="C148" s="46">
        <f aca="true" t="shared" si="3" ref="C148:N148">C16+C22+C28+C34+C40+C46+C52+C58+C64+C70+C76+C82+C88+C94+C100+C106+C112+C118+C124+C130+C136+C142</f>
        <v>4998.5</v>
      </c>
      <c r="D148" s="39">
        <f t="shared" si="3"/>
        <v>5234</v>
      </c>
      <c r="E148" s="47">
        <f t="shared" si="3"/>
        <v>5074.400000000001</v>
      </c>
      <c r="F148" s="48">
        <f t="shared" si="3"/>
        <v>15</v>
      </c>
      <c r="G148" s="49">
        <f t="shared" si="3"/>
        <v>5089.400000000001</v>
      </c>
      <c r="H148" s="49">
        <f t="shared" si="3"/>
        <v>37.38598910244973</v>
      </c>
      <c r="I148" s="49">
        <f t="shared" si="3"/>
        <v>9316.182638669365</v>
      </c>
      <c r="J148" s="49">
        <f t="shared" si="3"/>
        <v>42</v>
      </c>
      <c r="K148" s="48">
        <f t="shared" si="3"/>
        <v>9358.182638669365</v>
      </c>
      <c r="L148" s="47">
        <f t="shared" si="3"/>
        <v>0</v>
      </c>
      <c r="M148" s="833">
        <f t="shared" si="3"/>
        <v>-444</v>
      </c>
      <c r="N148" s="50">
        <f t="shared" si="3"/>
        <v>208.5</v>
      </c>
    </row>
    <row r="149" spans="1:14" ht="12.75">
      <c r="A149" s="44" t="s">
        <v>60</v>
      </c>
      <c r="B149" s="45" t="s">
        <v>32</v>
      </c>
      <c r="C149" s="46">
        <f aca="true" t="shared" si="4" ref="C149:N149">C17+C23+C29+C35+C41+C47+C53+C59+C65+C71+C77+C83+C89+C95+C101+C107+C113+C119+C125+C131+C137+C143</f>
        <v>183898</v>
      </c>
      <c r="D149" s="39">
        <f t="shared" si="4"/>
        <v>172859</v>
      </c>
      <c r="E149" s="47">
        <f t="shared" si="4"/>
        <v>172714</v>
      </c>
      <c r="F149" s="48">
        <f t="shared" si="4"/>
        <v>1290</v>
      </c>
      <c r="G149" s="49">
        <f t="shared" si="4"/>
        <v>174004</v>
      </c>
      <c r="H149" s="49">
        <f t="shared" si="4"/>
        <v>36.02737017566738</v>
      </c>
      <c r="I149" s="49">
        <f t="shared" si="4"/>
        <v>272088.0492205058</v>
      </c>
      <c r="J149" s="49">
        <f t="shared" si="4"/>
        <v>4482.1</v>
      </c>
      <c r="K149" s="48">
        <f t="shared" si="4"/>
        <v>276570.1492205058</v>
      </c>
      <c r="L149" s="47">
        <f t="shared" si="4"/>
        <v>0</v>
      </c>
      <c r="M149" s="833">
        <f t="shared" si="4"/>
        <v>-145</v>
      </c>
      <c r="N149" s="50">
        <f t="shared" si="4"/>
        <v>11184</v>
      </c>
    </row>
    <row r="150" spans="1:14" ht="13.5" thickBot="1">
      <c r="A150" s="51" t="s">
        <v>60</v>
      </c>
      <c r="B150" s="52" t="s">
        <v>33</v>
      </c>
      <c r="C150" s="834">
        <f aca="true" t="shared" si="5" ref="C150:N150">C18+C24+C30+C36+C42+C48+C54+C60+C66+C72+C78+C84+C90+C96+C102+C108+C114+C120+C126+C132+C138+C144</f>
        <v>308448</v>
      </c>
      <c r="D150" s="39">
        <f t="shared" si="5"/>
        <v>285145</v>
      </c>
      <c r="E150" s="835">
        <f t="shared" si="5"/>
        <v>284510.9</v>
      </c>
      <c r="F150" s="836">
        <f t="shared" si="5"/>
        <v>1596.5</v>
      </c>
      <c r="G150" s="837">
        <f t="shared" si="5"/>
        <v>286107.4</v>
      </c>
      <c r="H150" s="837">
        <f t="shared" si="5"/>
        <v>0</v>
      </c>
      <c r="I150" s="837">
        <f t="shared" si="5"/>
        <v>449369.2651982883</v>
      </c>
      <c r="J150" s="837">
        <f t="shared" si="5"/>
        <v>5544.35</v>
      </c>
      <c r="K150" s="836">
        <f t="shared" si="5"/>
        <v>454913.6151982883</v>
      </c>
      <c r="L150" s="835">
        <f t="shared" si="5"/>
        <v>11960770</v>
      </c>
      <c r="M150" s="838">
        <f t="shared" si="5"/>
        <v>-2334.5</v>
      </c>
      <c r="N150" s="839">
        <f t="shared" si="5"/>
        <v>25637.5</v>
      </c>
    </row>
    <row r="151" spans="1:14" ht="13.5" thickTop="1">
      <c r="A151" s="4"/>
      <c r="B151" s="4"/>
      <c r="C151" s="840"/>
      <c r="D151" s="4"/>
      <c r="E151" s="785"/>
      <c r="F151" s="4"/>
      <c r="G151" s="785"/>
      <c r="H151" s="4"/>
      <c r="I151" s="785"/>
      <c r="J151" s="4"/>
      <c r="K151" s="4"/>
      <c r="L151" s="4"/>
      <c r="M151" s="4"/>
      <c r="N151" s="4"/>
    </row>
    <row r="152" spans="1:14" ht="12.75">
      <c r="A152" s="4"/>
      <c r="B152" s="4"/>
      <c r="C152" s="840"/>
      <c r="D152" s="4"/>
      <c r="E152" s="785"/>
      <c r="F152" s="4"/>
      <c r="G152" s="785"/>
      <c r="H152" s="4"/>
      <c r="I152" s="785"/>
      <c r="J152" s="53" t="s">
        <v>61</v>
      </c>
      <c r="K152" s="54"/>
      <c r="L152" s="54"/>
      <c r="M152" s="55"/>
      <c r="N152" s="56">
        <f>K150</f>
        <v>454913.6151982883</v>
      </c>
    </row>
    <row r="153" spans="1:14" ht="12.75">
      <c r="A153" s="4"/>
      <c r="B153" s="4"/>
      <c r="C153" s="840"/>
      <c r="D153" s="4"/>
      <c r="E153" s="785"/>
      <c r="F153" s="4"/>
      <c r="G153" s="785"/>
      <c r="H153" s="4"/>
      <c r="I153" s="785"/>
      <c r="J153" s="53" t="s">
        <v>62</v>
      </c>
      <c r="K153" s="54"/>
      <c r="L153" s="54"/>
      <c r="M153" s="55"/>
      <c r="N153" s="56">
        <f>N154/N152*1000</f>
        <v>26292.398381583997</v>
      </c>
    </row>
    <row r="154" spans="1:14" ht="12.75">
      <c r="A154" s="4"/>
      <c r="B154" s="4"/>
      <c r="C154" s="840"/>
      <c r="D154" s="4"/>
      <c r="E154" s="785"/>
      <c r="F154" s="4"/>
      <c r="G154" s="785"/>
      <c r="H154" s="4"/>
      <c r="I154" s="785"/>
      <c r="J154" s="18" t="s">
        <v>63</v>
      </c>
      <c r="K154" s="54"/>
      <c r="L154" s="54"/>
      <c r="M154" s="55"/>
      <c r="N154" s="56">
        <f>I210</f>
        <v>11960770</v>
      </c>
    </row>
    <row r="155" spans="1:14" ht="12.75">
      <c r="A155" s="4"/>
      <c r="B155" s="4"/>
      <c r="C155" s="840"/>
      <c r="D155" s="4"/>
      <c r="E155" s="785"/>
      <c r="F155" s="4"/>
      <c r="G155" s="785"/>
      <c r="H155" s="4"/>
      <c r="I155" s="785"/>
      <c r="J155" s="841" t="s">
        <v>64</v>
      </c>
      <c r="K155" s="57"/>
      <c r="L155" s="57"/>
      <c r="M155" s="58"/>
      <c r="N155" s="842">
        <v>11960772.5</v>
      </c>
    </row>
    <row r="156" spans="1:14" ht="12.75">
      <c r="A156" s="4"/>
      <c r="B156" s="4"/>
      <c r="C156" s="840"/>
      <c r="D156" s="4"/>
      <c r="E156" s="785"/>
      <c r="F156" s="4"/>
      <c r="G156" s="785"/>
      <c r="H156" s="4"/>
      <c r="I156" s="785"/>
      <c r="J156" s="4"/>
      <c r="K156" s="4"/>
      <c r="L156" s="4"/>
      <c r="M156" s="4"/>
      <c r="N156" s="785"/>
    </row>
    <row r="157" spans="1:14" ht="20.25">
      <c r="A157" s="59" t="s">
        <v>65</v>
      </c>
      <c r="B157" s="4"/>
      <c r="C157" s="840"/>
      <c r="D157" s="4"/>
      <c r="E157" s="843"/>
      <c r="F157" s="4"/>
      <c r="G157" s="785"/>
      <c r="H157" s="4"/>
      <c r="I157" s="785"/>
      <c r="J157" s="4"/>
      <c r="K157" s="4"/>
      <c r="L157" s="4"/>
      <c r="M157" s="4"/>
      <c r="N157" s="844"/>
    </row>
    <row r="158" spans="1:14" ht="12.75">
      <c r="A158" s="845"/>
      <c r="B158" s="845"/>
      <c r="C158" s="845"/>
      <c r="D158" s="845"/>
      <c r="E158" s="845"/>
      <c r="F158" s="845"/>
      <c r="G158" s="845"/>
      <c r="H158" s="845"/>
      <c r="I158" s="845"/>
      <c r="J158" s="845"/>
      <c r="K158" s="845"/>
      <c r="L158" s="845"/>
      <c r="M158" s="845"/>
      <c r="N158" s="845"/>
    </row>
    <row r="159" spans="1:14" ht="15.75">
      <c r="A159" s="60" t="s">
        <v>459</v>
      </c>
      <c r="B159" s="4"/>
      <c r="C159" s="840"/>
      <c r="D159" s="4"/>
      <c r="E159" s="785"/>
      <c r="F159" s="4"/>
      <c r="G159" s="785"/>
      <c r="H159" s="4"/>
      <c r="I159" s="785"/>
      <c r="J159" s="4"/>
      <c r="K159" s="4"/>
      <c r="L159" s="4"/>
      <c r="M159" s="4"/>
      <c r="N159" s="4"/>
    </row>
    <row r="160" spans="1:14" ht="16.5" thickBot="1">
      <c r="A160" s="60" t="s">
        <v>66</v>
      </c>
      <c r="B160" s="4"/>
      <c r="C160" s="840"/>
      <c r="D160" s="4"/>
      <c r="E160" s="785"/>
      <c r="F160" s="4"/>
      <c r="G160" s="785"/>
      <c r="H160" s="4"/>
      <c r="I160" s="785"/>
      <c r="J160" s="4"/>
      <c r="K160" s="4"/>
      <c r="L160" s="4"/>
      <c r="M160" s="4"/>
      <c r="N160" s="4"/>
    </row>
    <row r="161" spans="1:14" ht="78" thickBot="1" thickTop="1">
      <c r="A161" s="4"/>
      <c r="B161" s="4"/>
      <c r="C161" s="913" t="s">
        <v>450</v>
      </c>
      <c r="D161" s="916" t="s">
        <v>452</v>
      </c>
      <c r="E161" s="918" t="s">
        <v>453</v>
      </c>
      <c r="F161" s="4"/>
      <c r="G161" s="785"/>
      <c r="H161" s="918" t="s">
        <v>451</v>
      </c>
      <c r="I161" s="4"/>
      <c r="J161" s="918" t="s">
        <v>458</v>
      </c>
      <c r="K161" s="927" t="s">
        <v>104</v>
      </c>
      <c r="L161" s="16" t="s">
        <v>24</v>
      </c>
      <c r="M161" s="4"/>
      <c r="N161" s="4"/>
    </row>
    <row r="162" spans="1:14" ht="13.5" thickTop="1">
      <c r="A162" s="61" t="s">
        <v>67</v>
      </c>
      <c r="B162" s="62" t="s">
        <v>28</v>
      </c>
      <c r="C162" s="63">
        <v>202</v>
      </c>
      <c r="D162" s="64"/>
      <c r="E162" s="63"/>
      <c r="F162" s="66"/>
      <c r="G162" s="66">
        <f aca="true" t="shared" si="6" ref="G162:G184">E162+F162</f>
        <v>0</v>
      </c>
      <c r="H162" s="67"/>
      <c r="I162" s="68"/>
      <c r="J162" s="69"/>
      <c r="K162" s="70"/>
      <c r="L162" s="65"/>
      <c r="M162" s="71">
        <f>IF(D162&gt;C162,C162-D162,0)</f>
        <v>0</v>
      </c>
      <c r="N162" s="72"/>
    </row>
    <row r="163" spans="1:14" ht="12.75">
      <c r="A163" s="73" t="s">
        <v>67</v>
      </c>
      <c r="B163" s="18" t="s">
        <v>29</v>
      </c>
      <c r="C163" s="19">
        <v>12</v>
      </c>
      <c r="D163" s="74"/>
      <c r="E163" s="19"/>
      <c r="F163" s="20"/>
      <c r="G163" s="20">
        <f t="shared" si="6"/>
        <v>0</v>
      </c>
      <c r="H163" s="21"/>
      <c r="I163" s="17"/>
      <c r="J163" s="22"/>
      <c r="K163" s="23"/>
      <c r="L163" s="75"/>
      <c r="M163" s="76">
        <f>IF(D163&gt;C163,C163-D163,0)</f>
        <v>0</v>
      </c>
      <c r="N163" s="24"/>
    </row>
    <row r="164" spans="1:14" ht="12.75">
      <c r="A164" s="73" t="s">
        <v>67</v>
      </c>
      <c r="B164" s="18" t="s">
        <v>30</v>
      </c>
      <c r="C164" s="19">
        <v>167.5</v>
      </c>
      <c r="D164" s="74"/>
      <c r="E164" s="19"/>
      <c r="F164" s="20"/>
      <c r="G164" s="20">
        <f t="shared" si="6"/>
        <v>0</v>
      </c>
      <c r="H164" s="21"/>
      <c r="I164" s="17"/>
      <c r="J164" s="22"/>
      <c r="K164" s="23"/>
      <c r="L164" s="75"/>
      <c r="M164" s="76">
        <f>IF(D164&gt;C164,C164-D164,0)</f>
        <v>0</v>
      </c>
      <c r="N164" s="24"/>
    </row>
    <row r="165" spans="1:14" ht="12.75">
      <c r="A165" s="77" t="s">
        <v>67</v>
      </c>
      <c r="B165" s="26" t="s">
        <v>31</v>
      </c>
      <c r="C165" s="27">
        <v>30</v>
      </c>
      <c r="D165" s="78"/>
      <c r="E165" s="27"/>
      <c r="F165" s="79"/>
      <c r="G165" s="20">
        <f t="shared" si="6"/>
        <v>0</v>
      </c>
      <c r="H165" s="29"/>
      <c r="I165" s="17"/>
      <c r="J165" s="28"/>
      <c r="K165" s="23"/>
      <c r="L165" s="80"/>
      <c r="M165" s="76">
        <f>IF(D165&gt;C165,C165-D165,0)</f>
        <v>0</v>
      </c>
      <c r="N165" s="24"/>
    </row>
    <row r="166" spans="1:14" ht="13.5" thickBot="1">
      <c r="A166" s="81" t="s">
        <v>67</v>
      </c>
      <c r="B166" s="30" t="s">
        <v>32</v>
      </c>
      <c r="C166" s="19">
        <v>765.5</v>
      </c>
      <c r="D166" s="74"/>
      <c r="E166" s="915"/>
      <c r="F166" s="79"/>
      <c r="G166" s="20">
        <f t="shared" si="6"/>
        <v>0</v>
      </c>
      <c r="H166" s="21"/>
      <c r="I166" s="17"/>
      <c r="J166" s="28"/>
      <c r="K166" s="23"/>
      <c r="L166" s="80"/>
      <c r="M166" s="76">
        <f>IF(D166&gt;C166,C166-D166,0)</f>
        <v>0</v>
      </c>
      <c r="N166" s="24"/>
    </row>
    <row r="167" spans="1:14" ht="13.5" thickBot="1">
      <c r="A167" s="82" t="s">
        <v>67</v>
      </c>
      <c r="B167" s="32" t="s">
        <v>33</v>
      </c>
      <c r="C167" s="818">
        <v>1177</v>
      </c>
      <c r="D167" s="846">
        <v>1256</v>
      </c>
      <c r="E167" s="914">
        <f>+C167/D167</f>
        <v>0.9371019108280255</v>
      </c>
      <c r="F167" s="821"/>
      <c r="G167" s="821"/>
      <c r="H167" s="920">
        <v>0.4585</v>
      </c>
      <c r="I167" s="820"/>
      <c r="J167" s="926">
        <v>5.828632116</v>
      </c>
      <c r="K167" s="847">
        <f>J167*D167</f>
        <v>7320.761937695999</v>
      </c>
      <c r="L167" s="823">
        <f>ROUND($N$194*H167,0)</f>
        <v>198902</v>
      </c>
      <c r="M167" s="821">
        <f>SUM(M162:M166)</f>
        <v>0</v>
      </c>
      <c r="N167" s="825"/>
    </row>
    <row r="168" spans="1:14" ht="12.75">
      <c r="A168" s="83" t="s">
        <v>68</v>
      </c>
      <c r="B168" s="18" t="s">
        <v>28</v>
      </c>
      <c r="C168" s="19">
        <v>0</v>
      </c>
      <c r="D168" s="74"/>
      <c r="E168" s="19"/>
      <c r="F168" s="20"/>
      <c r="G168" s="20">
        <f t="shared" si="6"/>
        <v>0</v>
      </c>
      <c r="H168" s="921"/>
      <c r="I168" s="17"/>
      <c r="J168" s="21"/>
      <c r="K168" s="23"/>
      <c r="L168" s="75"/>
      <c r="M168" s="76">
        <f>IF(D168&gt;C168,C168-D168,0)</f>
        <v>0</v>
      </c>
      <c r="N168" s="24"/>
    </row>
    <row r="169" spans="1:14" ht="12.75">
      <c r="A169" s="73" t="s">
        <v>68</v>
      </c>
      <c r="B169" s="18" t="s">
        <v>29</v>
      </c>
      <c r="C169" s="19">
        <v>61</v>
      </c>
      <c r="D169" s="74"/>
      <c r="E169" s="19"/>
      <c r="F169" s="20"/>
      <c r="G169" s="20">
        <f t="shared" si="6"/>
        <v>0</v>
      </c>
      <c r="H169" s="921"/>
      <c r="I169" s="17"/>
      <c r="J169" s="21"/>
      <c r="K169" s="23"/>
      <c r="L169" s="75"/>
      <c r="M169" s="76">
        <f>IF(D169&gt;C169,C169-D169,0)</f>
        <v>0</v>
      </c>
      <c r="N169" s="24"/>
    </row>
    <row r="170" spans="1:14" ht="12.75">
      <c r="A170" s="73" t="s">
        <v>68</v>
      </c>
      <c r="B170" s="18" t="s">
        <v>30</v>
      </c>
      <c r="C170" s="19">
        <v>0</v>
      </c>
      <c r="D170" s="74"/>
      <c r="E170" s="19"/>
      <c r="F170" s="20"/>
      <c r="G170" s="20">
        <f t="shared" si="6"/>
        <v>0</v>
      </c>
      <c r="H170" s="921"/>
      <c r="I170" s="17"/>
      <c r="J170" s="21"/>
      <c r="K170" s="23"/>
      <c r="L170" s="75"/>
      <c r="M170" s="76">
        <f>IF(D170&gt;C170,C170-D170,0)</f>
        <v>0</v>
      </c>
      <c r="N170" s="24"/>
    </row>
    <row r="171" spans="1:16" ht="15">
      <c r="A171" s="77" t="s">
        <v>68</v>
      </c>
      <c r="B171" s="26" t="s">
        <v>31</v>
      </c>
      <c r="C171" s="27">
        <v>6</v>
      </c>
      <c r="D171" s="78"/>
      <c r="E171" s="27"/>
      <c r="F171" s="79"/>
      <c r="G171" s="20">
        <f t="shared" si="6"/>
        <v>0</v>
      </c>
      <c r="H171" s="922"/>
      <c r="I171" s="17"/>
      <c r="J171" s="21"/>
      <c r="K171" s="23"/>
      <c r="L171" s="80"/>
      <c r="M171" s="76">
        <f>IF(D171&gt;C171,C171-D171,0)</f>
        <v>0</v>
      </c>
      <c r="N171" s="24"/>
      <c r="P171" s="919"/>
    </row>
    <row r="172" spans="1:16" ht="15.75" thickBot="1">
      <c r="A172" s="81" t="s">
        <v>68</v>
      </c>
      <c r="B172" s="30" t="s">
        <v>32</v>
      </c>
      <c r="C172" s="19">
        <v>243</v>
      </c>
      <c r="D172" s="74"/>
      <c r="E172" s="19"/>
      <c r="F172" s="79"/>
      <c r="G172" s="20">
        <f t="shared" si="6"/>
        <v>0</v>
      </c>
      <c r="H172" s="921"/>
      <c r="I172" s="17"/>
      <c r="J172" s="21"/>
      <c r="K172" s="23"/>
      <c r="L172" s="80"/>
      <c r="M172" s="76">
        <f>IF(D172&gt;C172,C172-D172,0)</f>
        <v>0</v>
      </c>
      <c r="N172" s="24"/>
      <c r="P172" s="919"/>
    </row>
    <row r="173" spans="1:16" ht="15.75" thickBot="1">
      <c r="A173" s="82" t="s">
        <v>68</v>
      </c>
      <c r="B173" s="32" t="s">
        <v>33</v>
      </c>
      <c r="C173" s="818">
        <v>310</v>
      </c>
      <c r="D173" s="846">
        <v>327</v>
      </c>
      <c r="E173" s="914">
        <f>+C173/D173</f>
        <v>0.9480122324159022</v>
      </c>
      <c r="F173" s="821"/>
      <c r="G173" s="821"/>
      <c r="H173" s="920">
        <v>0.1195</v>
      </c>
      <c r="I173" s="820"/>
      <c r="J173" s="926">
        <v>5.9</v>
      </c>
      <c r="K173" s="847">
        <f>J173*D173</f>
        <v>1929.3000000000002</v>
      </c>
      <c r="L173" s="823">
        <f>ROUND($N$194*H173,0)</f>
        <v>51840</v>
      </c>
      <c r="M173" s="821">
        <f>SUM(M168:M172)</f>
        <v>0</v>
      </c>
      <c r="N173" s="825"/>
      <c r="P173" s="919"/>
    </row>
    <row r="174" spans="1:16" ht="15">
      <c r="A174" s="83" t="s">
        <v>69</v>
      </c>
      <c r="B174" s="18" t="s">
        <v>28</v>
      </c>
      <c r="C174" s="19">
        <v>75</v>
      </c>
      <c r="D174" s="74"/>
      <c r="E174" s="19"/>
      <c r="F174" s="20"/>
      <c r="G174" s="20">
        <f t="shared" si="6"/>
        <v>0</v>
      </c>
      <c r="H174" s="921"/>
      <c r="I174" s="17"/>
      <c r="J174" s="21"/>
      <c r="K174" s="23"/>
      <c r="L174" s="75"/>
      <c r="M174" s="76">
        <f>IF(D174&gt;C174,C174-D174,0)</f>
        <v>0</v>
      </c>
      <c r="N174" s="24"/>
      <c r="P174" s="919"/>
    </row>
    <row r="175" spans="1:14" ht="12.75">
      <c r="A175" s="73" t="s">
        <v>69</v>
      </c>
      <c r="B175" s="18" t="s">
        <v>29</v>
      </c>
      <c r="C175" s="19">
        <v>15</v>
      </c>
      <c r="D175" s="74"/>
      <c r="E175" s="19"/>
      <c r="F175" s="20"/>
      <c r="G175" s="20">
        <f t="shared" si="6"/>
        <v>0</v>
      </c>
      <c r="H175" s="921"/>
      <c r="I175" s="17"/>
      <c r="J175" s="21"/>
      <c r="K175" s="23"/>
      <c r="L175" s="75"/>
      <c r="M175" s="76">
        <f>IF(D175&gt;C175,C175-D175,0)</f>
        <v>0</v>
      </c>
      <c r="N175" s="24"/>
    </row>
    <row r="176" spans="1:14" ht="12.75">
      <c r="A176" s="73" t="s">
        <v>69</v>
      </c>
      <c r="B176" s="18" t="s">
        <v>30</v>
      </c>
      <c r="C176" s="19">
        <v>61</v>
      </c>
      <c r="D176" s="74"/>
      <c r="E176" s="19"/>
      <c r="F176" s="20"/>
      <c r="G176" s="20">
        <f t="shared" si="6"/>
        <v>0</v>
      </c>
      <c r="H176" s="921"/>
      <c r="I176" s="17"/>
      <c r="J176" s="21"/>
      <c r="K176" s="23"/>
      <c r="L176" s="75"/>
      <c r="M176" s="76">
        <f>IF(D176&gt;C176,C176-D176,0)</f>
        <v>0</v>
      </c>
      <c r="N176" s="24"/>
    </row>
    <row r="177" spans="1:14" ht="12.75">
      <c r="A177" s="77" t="s">
        <v>69</v>
      </c>
      <c r="B177" s="26" t="s">
        <v>31</v>
      </c>
      <c r="C177" s="27">
        <v>12</v>
      </c>
      <c r="D177" s="78"/>
      <c r="E177" s="27"/>
      <c r="F177" s="79"/>
      <c r="G177" s="20">
        <f t="shared" si="6"/>
        <v>0</v>
      </c>
      <c r="H177" s="922"/>
      <c r="I177" s="17"/>
      <c r="J177" s="21"/>
      <c r="K177" s="23"/>
      <c r="L177" s="80"/>
      <c r="M177" s="76">
        <f>IF(D177&gt;C177,C177-D177,0)</f>
        <v>0</v>
      </c>
      <c r="N177" s="24"/>
    </row>
    <row r="178" spans="1:14" ht="13.5" thickBot="1">
      <c r="A178" s="81" t="s">
        <v>69</v>
      </c>
      <c r="B178" s="30" t="s">
        <v>32</v>
      </c>
      <c r="C178" s="19">
        <v>290</v>
      </c>
      <c r="D178" s="74"/>
      <c r="E178" s="19"/>
      <c r="F178" s="79"/>
      <c r="G178" s="20">
        <f t="shared" si="6"/>
        <v>0</v>
      </c>
      <c r="H178" s="921"/>
      <c r="I178" s="17"/>
      <c r="J178" s="21"/>
      <c r="K178" s="23"/>
      <c r="L178" s="80"/>
      <c r="M178" s="76">
        <f>IF(D178&gt;C178,C178-D178,0)</f>
        <v>0</v>
      </c>
      <c r="N178" s="24"/>
    </row>
    <row r="179" spans="1:14" ht="13.5" thickBot="1">
      <c r="A179" s="82" t="s">
        <v>69</v>
      </c>
      <c r="B179" s="32" t="s">
        <v>33</v>
      </c>
      <c r="C179" s="818">
        <v>453</v>
      </c>
      <c r="D179" s="846">
        <v>467</v>
      </c>
      <c r="E179" s="914">
        <f>+C179/D179</f>
        <v>0.9700214132762313</v>
      </c>
      <c r="F179" s="821"/>
      <c r="G179" s="821"/>
      <c r="H179" s="920">
        <v>0.17</v>
      </c>
      <c r="I179" s="820"/>
      <c r="J179" s="926">
        <v>5.651214128</v>
      </c>
      <c r="K179" s="847">
        <f>J179*D179</f>
        <v>2639.116997776</v>
      </c>
      <c r="L179" s="823">
        <f>ROUND($N$194*H179,0)</f>
        <v>73748</v>
      </c>
      <c r="M179" s="821">
        <f>SUM(M174:M178)</f>
        <v>0</v>
      </c>
      <c r="N179" s="825"/>
    </row>
    <row r="180" spans="1:14" ht="12.75">
      <c r="A180" s="83" t="s">
        <v>70</v>
      </c>
      <c r="B180" s="18" t="s">
        <v>28</v>
      </c>
      <c r="C180" s="19">
        <v>134.5</v>
      </c>
      <c r="D180" s="74"/>
      <c r="E180" s="19"/>
      <c r="F180" s="20"/>
      <c r="G180" s="20">
        <f t="shared" si="6"/>
        <v>0</v>
      </c>
      <c r="H180" s="921"/>
      <c r="I180" s="17"/>
      <c r="J180" s="21"/>
      <c r="K180" s="23"/>
      <c r="L180" s="75"/>
      <c r="M180" s="76">
        <f>IF(D180&gt;C180,C180-D180,0)</f>
        <v>0</v>
      </c>
      <c r="N180" s="24"/>
    </row>
    <row r="181" spans="1:14" ht="12.75">
      <c r="A181" s="73" t="s">
        <v>70</v>
      </c>
      <c r="B181" s="18" t="s">
        <v>29</v>
      </c>
      <c r="C181" s="19">
        <v>22</v>
      </c>
      <c r="D181" s="74"/>
      <c r="E181" s="19"/>
      <c r="F181" s="20"/>
      <c r="G181" s="20">
        <f t="shared" si="6"/>
        <v>0</v>
      </c>
      <c r="H181" s="921"/>
      <c r="I181" s="17"/>
      <c r="J181" s="21"/>
      <c r="K181" s="23"/>
      <c r="L181" s="75"/>
      <c r="M181" s="76">
        <f>IF(D181&gt;C181,C181-D181,0)</f>
        <v>0</v>
      </c>
      <c r="N181" s="24"/>
    </row>
    <row r="182" spans="1:14" ht="12.75">
      <c r="A182" s="73" t="s">
        <v>70</v>
      </c>
      <c r="B182" s="18" t="s">
        <v>30</v>
      </c>
      <c r="C182" s="19">
        <v>52</v>
      </c>
      <c r="D182" s="74"/>
      <c r="E182" s="19"/>
      <c r="F182" s="20"/>
      <c r="G182" s="20">
        <f t="shared" si="6"/>
        <v>0</v>
      </c>
      <c r="H182" s="921"/>
      <c r="I182" s="17"/>
      <c r="J182" s="21"/>
      <c r="K182" s="23"/>
      <c r="L182" s="75"/>
      <c r="M182" s="76">
        <f>IF(D182&gt;C182,C182-D182,0)</f>
        <v>0</v>
      </c>
      <c r="N182" s="24"/>
    </row>
    <row r="183" spans="1:14" ht="12.75">
      <c r="A183" s="77" t="s">
        <v>70</v>
      </c>
      <c r="B183" s="26" t="s">
        <v>31</v>
      </c>
      <c r="C183" s="27">
        <v>12</v>
      </c>
      <c r="D183" s="78"/>
      <c r="E183" s="27"/>
      <c r="F183" s="79"/>
      <c r="G183" s="20">
        <f t="shared" si="6"/>
        <v>0</v>
      </c>
      <c r="H183" s="922"/>
      <c r="I183" s="17"/>
      <c r="J183" s="21"/>
      <c r="K183" s="23"/>
      <c r="L183" s="80"/>
      <c r="M183" s="76">
        <f>IF(D183&gt;C183,C183-D183,0)</f>
        <v>0</v>
      </c>
      <c r="N183" s="24"/>
    </row>
    <row r="184" spans="1:14" ht="13.5" thickBot="1">
      <c r="A184" s="81" t="s">
        <v>70</v>
      </c>
      <c r="B184" s="30" t="s">
        <v>32</v>
      </c>
      <c r="C184" s="19">
        <v>444</v>
      </c>
      <c r="D184" s="74"/>
      <c r="E184" s="19"/>
      <c r="F184" s="79"/>
      <c r="G184" s="20">
        <f t="shared" si="6"/>
        <v>0</v>
      </c>
      <c r="H184" s="921"/>
      <c r="I184" s="17"/>
      <c r="J184" s="21"/>
      <c r="K184" s="23"/>
      <c r="L184" s="80"/>
      <c r="M184" s="76">
        <f>IF(D184&gt;C184,C184-D184,0)</f>
        <v>0</v>
      </c>
      <c r="N184" s="24"/>
    </row>
    <row r="185" spans="1:14" ht="13.5" thickBot="1">
      <c r="A185" s="82" t="s">
        <v>70</v>
      </c>
      <c r="B185" s="32" t="s">
        <v>33</v>
      </c>
      <c r="C185" s="818">
        <v>664.5</v>
      </c>
      <c r="D185" s="846">
        <v>690</v>
      </c>
      <c r="E185" s="914">
        <f>+C185/D185</f>
        <v>0.9630434782608696</v>
      </c>
      <c r="F185" s="821"/>
      <c r="G185" s="821"/>
      <c r="H185" s="920">
        <v>0.252</v>
      </c>
      <c r="I185" s="820"/>
      <c r="J185" s="926">
        <v>5.9</v>
      </c>
      <c r="K185" s="847">
        <f>J185*D185</f>
        <v>4071.0000000000005</v>
      </c>
      <c r="L185" s="823">
        <f>ROUND($N$194*H185,0)</f>
        <v>109320</v>
      </c>
      <c r="M185" s="821">
        <f>SUM(M180:M184)</f>
        <v>0</v>
      </c>
      <c r="N185" s="825"/>
    </row>
    <row r="186" spans="1:14" ht="12.75">
      <c r="A186" s="37" t="s">
        <v>60</v>
      </c>
      <c r="B186" s="38" t="s">
        <v>28</v>
      </c>
      <c r="C186" s="39">
        <f>C162+C168+C174+C180</f>
        <v>411.5</v>
      </c>
      <c r="D186" s="917">
        <f>D162+D168+D174+D180</f>
        <v>0</v>
      </c>
      <c r="E186" s="39"/>
      <c r="F186" s="41"/>
      <c r="G186" s="42"/>
      <c r="H186" s="42"/>
      <c r="I186" s="42"/>
      <c r="J186" s="42"/>
      <c r="K186" s="41"/>
      <c r="L186" s="40"/>
      <c r="M186" s="84"/>
      <c r="N186" s="43"/>
    </row>
    <row r="187" spans="1:14" ht="12.75">
      <c r="A187" s="44" t="s">
        <v>60</v>
      </c>
      <c r="B187" s="45" t="s">
        <v>29</v>
      </c>
      <c r="C187" s="46">
        <f aca="true" t="shared" si="7" ref="C187:D191">C163+C169+C175+C181</f>
        <v>110</v>
      </c>
      <c r="D187" s="855">
        <f t="shared" si="7"/>
        <v>0</v>
      </c>
      <c r="E187" s="46"/>
      <c r="F187" s="48"/>
      <c r="G187" s="49"/>
      <c r="H187" s="49"/>
      <c r="I187" s="49"/>
      <c r="J187" s="49"/>
      <c r="K187" s="48"/>
      <c r="L187" s="47"/>
      <c r="M187" s="85"/>
      <c r="N187" s="50"/>
    </row>
    <row r="188" spans="1:14" ht="12.75">
      <c r="A188" s="44" t="s">
        <v>60</v>
      </c>
      <c r="B188" s="45" t="s">
        <v>30</v>
      </c>
      <c r="C188" s="46">
        <f t="shared" si="7"/>
        <v>280.5</v>
      </c>
      <c r="D188" s="855">
        <f t="shared" si="7"/>
        <v>0</v>
      </c>
      <c r="E188" s="46"/>
      <c r="F188" s="48"/>
      <c r="G188" s="49"/>
      <c r="H188" s="49"/>
      <c r="I188" s="49"/>
      <c r="J188" s="49"/>
      <c r="K188" s="48"/>
      <c r="L188" s="47"/>
      <c r="M188" s="85"/>
      <c r="N188" s="50"/>
    </row>
    <row r="189" spans="1:14" ht="12.75">
      <c r="A189" s="44" t="s">
        <v>60</v>
      </c>
      <c r="B189" s="45" t="s">
        <v>31</v>
      </c>
      <c r="C189" s="46">
        <f t="shared" si="7"/>
        <v>60</v>
      </c>
      <c r="D189" s="855">
        <f t="shared" si="7"/>
        <v>0</v>
      </c>
      <c r="E189" s="46"/>
      <c r="F189" s="48"/>
      <c r="G189" s="49"/>
      <c r="H189" s="49"/>
      <c r="I189" s="49"/>
      <c r="J189" s="49"/>
      <c r="K189" s="48"/>
      <c r="L189" s="47"/>
      <c r="M189" s="85"/>
      <c r="N189" s="50"/>
    </row>
    <row r="190" spans="1:14" ht="12.75">
      <c r="A190" s="44" t="s">
        <v>60</v>
      </c>
      <c r="B190" s="45" t="s">
        <v>32</v>
      </c>
      <c r="C190" s="46">
        <f t="shared" si="7"/>
        <v>1742.5</v>
      </c>
      <c r="D190" s="855">
        <f t="shared" si="7"/>
        <v>0</v>
      </c>
      <c r="E190" s="46"/>
      <c r="F190" s="48"/>
      <c r="G190" s="49"/>
      <c r="H190" s="49"/>
      <c r="I190" s="49"/>
      <c r="J190" s="49"/>
      <c r="K190" s="48"/>
      <c r="L190" s="47"/>
      <c r="M190" s="85"/>
      <c r="N190" s="50"/>
    </row>
    <row r="191" spans="1:14" ht="13.5" thickBot="1">
      <c r="A191" s="51" t="s">
        <v>60</v>
      </c>
      <c r="B191" s="52" t="s">
        <v>33</v>
      </c>
      <c r="C191" s="834">
        <f t="shared" si="7"/>
        <v>2604.5</v>
      </c>
      <c r="D191" s="856">
        <f t="shared" si="7"/>
        <v>2740</v>
      </c>
      <c r="E191" s="928">
        <f>+C191/D191</f>
        <v>0.9505474452554744</v>
      </c>
      <c r="F191" s="836"/>
      <c r="G191" s="837"/>
      <c r="H191" s="849"/>
      <c r="I191" s="837"/>
      <c r="J191" s="837"/>
      <c r="K191" s="836">
        <f>K167+K173+K179+K185</f>
        <v>15960.178935471999</v>
      </c>
      <c r="L191" s="848">
        <f>L167+L173+L179+L185</f>
        <v>433810</v>
      </c>
      <c r="M191" s="849"/>
      <c r="N191" s="839"/>
    </row>
    <row r="192" spans="1:14" ht="13.5" thickTop="1">
      <c r="A192" s="4"/>
      <c r="B192" s="4"/>
      <c r="C192" s="784"/>
      <c r="D192" s="4"/>
      <c r="E192" s="4"/>
      <c r="F192" s="4"/>
      <c r="G192" s="4"/>
      <c r="H192" s="4"/>
      <c r="I192" s="785"/>
      <c r="J192" s="4"/>
      <c r="K192" s="4"/>
      <c r="L192" s="786"/>
      <c r="M192" s="4"/>
      <c r="N192" s="7"/>
    </row>
    <row r="193" spans="1:14" ht="12.75">
      <c r="A193" s="4"/>
      <c r="B193" s="4"/>
      <c r="C193" s="784"/>
      <c r="D193" s="4"/>
      <c r="E193" s="4"/>
      <c r="F193" s="4"/>
      <c r="G193" s="4"/>
      <c r="H193" s="4"/>
      <c r="I193" s="785"/>
      <c r="J193" s="4"/>
      <c r="K193" s="18" t="s">
        <v>63</v>
      </c>
      <c r="L193" s="54"/>
      <c r="M193" s="55"/>
      <c r="N193" s="56">
        <f>I209</f>
        <v>433810</v>
      </c>
    </row>
    <row r="194" spans="1:14" ht="12.75">
      <c r="A194" s="4"/>
      <c r="B194" s="4"/>
      <c r="C194" s="784"/>
      <c r="D194" s="4"/>
      <c r="E194" s="4"/>
      <c r="F194" s="4"/>
      <c r="G194" s="4"/>
      <c r="H194" s="4"/>
      <c r="I194" s="785"/>
      <c r="J194" s="4"/>
      <c r="K194" s="841" t="s">
        <v>72</v>
      </c>
      <c r="L194" s="57"/>
      <c r="M194" s="58"/>
      <c r="N194" s="842">
        <v>433809.5</v>
      </c>
    </row>
    <row r="195" spans="1:14" ht="20.25">
      <c r="A195" s="59" t="s">
        <v>73</v>
      </c>
      <c r="B195" s="4"/>
      <c r="C195" s="784"/>
      <c r="D195" s="4"/>
      <c r="E195" s="4"/>
      <c r="F195" s="4"/>
      <c r="G195" s="4"/>
      <c r="H195" s="4"/>
      <c r="I195" s="785"/>
      <c r="J195" s="4"/>
      <c r="K195" s="4"/>
      <c r="L195" s="786"/>
      <c r="M195" s="4"/>
      <c r="N195" s="86"/>
    </row>
    <row r="196" spans="1:14" ht="21" thickBot="1">
      <c r="A196" s="59"/>
      <c r="B196" s="4"/>
      <c r="C196" s="784"/>
      <c r="D196" s="4"/>
      <c r="E196" s="4"/>
      <c r="F196" s="4"/>
      <c r="G196" s="4"/>
      <c r="H196" s="4"/>
      <c r="I196" s="785"/>
      <c r="J196" s="4"/>
      <c r="K196" s="4"/>
      <c r="L196" s="786"/>
      <c r="M196" s="4"/>
      <c r="N196" s="87"/>
    </row>
    <row r="197" spans="1:14" ht="12.75">
      <c r="A197" s="88" t="s">
        <v>60</v>
      </c>
      <c r="B197" s="89" t="s">
        <v>28</v>
      </c>
      <c r="C197" s="850">
        <f aca="true" t="shared" si="8" ref="C197:C202">C145+C186</f>
        <v>79344.5</v>
      </c>
      <c r="D197" s="851"/>
      <c r="E197" s="852"/>
      <c r="F197" s="853"/>
      <c r="G197" s="42"/>
      <c r="H197" s="42"/>
      <c r="I197" s="42"/>
      <c r="J197" s="42"/>
      <c r="K197" s="853"/>
      <c r="L197" s="852">
        <f aca="true" t="shared" si="9" ref="L197:N202">L145+L186</f>
        <v>0</v>
      </c>
      <c r="M197" s="84">
        <f t="shared" si="9"/>
        <v>-1575.5</v>
      </c>
      <c r="N197" s="854">
        <f t="shared" si="9"/>
        <v>8248.5</v>
      </c>
    </row>
    <row r="198" spans="1:14" ht="12.75">
      <c r="A198" s="44" t="s">
        <v>60</v>
      </c>
      <c r="B198" s="45" t="s">
        <v>29</v>
      </c>
      <c r="C198" s="46">
        <f t="shared" si="8"/>
        <v>5720.5</v>
      </c>
      <c r="D198" s="855"/>
      <c r="E198" s="47"/>
      <c r="F198" s="48"/>
      <c r="G198" s="49"/>
      <c r="H198" s="49"/>
      <c r="I198" s="49"/>
      <c r="J198" s="49"/>
      <c r="K198" s="48"/>
      <c r="L198" s="47">
        <f t="shared" si="9"/>
        <v>0</v>
      </c>
      <c r="M198" s="85">
        <f t="shared" si="9"/>
        <v>-108.5</v>
      </c>
      <c r="N198" s="50">
        <f t="shared" si="9"/>
        <v>206</v>
      </c>
    </row>
    <row r="199" spans="1:14" ht="12.75">
      <c r="A199" s="44" t="s">
        <v>60</v>
      </c>
      <c r="B199" s="45" t="s">
        <v>30</v>
      </c>
      <c r="C199" s="46">
        <f t="shared" si="8"/>
        <v>35288.5</v>
      </c>
      <c r="D199" s="855"/>
      <c r="E199" s="47"/>
      <c r="F199" s="48"/>
      <c r="G199" s="49"/>
      <c r="H199" s="49"/>
      <c r="I199" s="49"/>
      <c r="J199" s="49"/>
      <c r="K199" s="48"/>
      <c r="L199" s="47">
        <f t="shared" si="9"/>
        <v>0</v>
      </c>
      <c r="M199" s="85">
        <f t="shared" si="9"/>
        <v>-61.5</v>
      </c>
      <c r="N199" s="50">
        <f t="shared" si="9"/>
        <v>5790.5</v>
      </c>
    </row>
    <row r="200" spans="1:14" ht="12.75">
      <c r="A200" s="44" t="s">
        <v>60</v>
      </c>
      <c r="B200" s="45" t="s">
        <v>31</v>
      </c>
      <c r="C200" s="46">
        <f t="shared" si="8"/>
        <v>5058.5</v>
      </c>
      <c r="D200" s="855"/>
      <c r="E200" s="47"/>
      <c r="F200" s="48"/>
      <c r="G200" s="49"/>
      <c r="H200" s="49"/>
      <c r="I200" s="49"/>
      <c r="J200" s="49"/>
      <c r="K200" s="48"/>
      <c r="L200" s="47">
        <f t="shared" si="9"/>
        <v>0</v>
      </c>
      <c r="M200" s="85">
        <f t="shared" si="9"/>
        <v>-444</v>
      </c>
      <c r="N200" s="50">
        <f t="shared" si="9"/>
        <v>208.5</v>
      </c>
    </row>
    <row r="201" spans="1:14" ht="12.75">
      <c r="A201" s="44" t="s">
        <v>60</v>
      </c>
      <c r="B201" s="45" t="s">
        <v>32</v>
      </c>
      <c r="C201" s="46">
        <f t="shared" si="8"/>
        <v>185640.5</v>
      </c>
      <c r="D201" s="855"/>
      <c r="E201" s="47"/>
      <c r="F201" s="48"/>
      <c r="G201" s="49"/>
      <c r="H201" s="49"/>
      <c r="I201" s="49"/>
      <c r="J201" s="49"/>
      <c r="K201" s="48"/>
      <c r="L201" s="47">
        <f t="shared" si="9"/>
        <v>0</v>
      </c>
      <c r="M201" s="85">
        <f t="shared" si="9"/>
        <v>-145</v>
      </c>
      <c r="N201" s="50">
        <f t="shared" si="9"/>
        <v>11184</v>
      </c>
    </row>
    <row r="202" spans="1:14" ht="13.5" thickBot="1">
      <c r="A202" s="51" t="s">
        <v>60</v>
      </c>
      <c r="B202" s="52" t="s">
        <v>33</v>
      </c>
      <c r="C202" s="834">
        <f t="shared" si="8"/>
        <v>311052.5</v>
      </c>
      <c r="D202" s="856">
        <f>D150+D191</f>
        <v>287885</v>
      </c>
      <c r="E202" s="848">
        <f>E150+D191</f>
        <v>287250.9</v>
      </c>
      <c r="F202" s="836">
        <f>F150+F191</f>
        <v>1596.5</v>
      </c>
      <c r="G202" s="837">
        <f>G150+G191</f>
        <v>286107.4</v>
      </c>
      <c r="H202" s="837"/>
      <c r="I202" s="837">
        <f>I150+I191</f>
        <v>449369.2651982883</v>
      </c>
      <c r="J202" s="837">
        <f>J150+J191</f>
        <v>5544.35</v>
      </c>
      <c r="K202" s="836">
        <f>K150+K191</f>
        <v>470873.79413376027</v>
      </c>
      <c r="L202" s="848">
        <f>L150+L191</f>
        <v>12394580</v>
      </c>
      <c r="M202" s="849">
        <f t="shared" si="9"/>
        <v>-2334.5</v>
      </c>
      <c r="N202" s="839">
        <f t="shared" si="9"/>
        <v>25637.5</v>
      </c>
    </row>
    <row r="203" spans="1:14" ht="13.5" thickTop="1">
      <c r="A203" s="4"/>
      <c r="B203" s="4"/>
      <c r="C203" s="840"/>
      <c r="D203" s="4"/>
      <c r="E203" s="785"/>
      <c r="F203" s="4"/>
      <c r="G203" s="785"/>
      <c r="H203" s="4"/>
      <c r="I203" s="785"/>
      <c r="J203" s="4"/>
      <c r="K203" s="4"/>
      <c r="L203" s="4"/>
      <c r="M203" s="4"/>
      <c r="N203" s="4"/>
    </row>
    <row r="204" spans="1:14" ht="12.75">
      <c r="A204" s="4"/>
      <c r="B204" s="4"/>
      <c r="C204" s="840"/>
      <c r="D204" s="4"/>
      <c r="E204" s="785"/>
      <c r="F204" s="4"/>
      <c r="G204" s="785"/>
      <c r="H204" s="4"/>
      <c r="I204" s="785"/>
      <c r="J204" s="4"/>
      <c r="K204" s="4"/>
      <c r="L204" s="4"/>
      <c r="M204" s="4"/>
      <c r="N204" s="4"/>
    </row>
    <row r="205" spans="1:14" ht="13.5" thickBot="1">
      <c r="A205" s="4"/>
      <c r="B205" s="4"/>
      <c r="C205" s="840"/>
      <c r="D205" s="4"/>
      <c r="E205" s="785"/>
      <c r="F205" s="4"/>
      <c r="G205" s="785"/>
      <c r="H205" s="4"/>
      <c r="I205" s="785"/>
      <c r="J205" s="4"/>
      <c r="K205" s="4"/>
      <c r="L205" s="4"/>
      <c r="M205" s="4"/>
      <c r="N205" s="4"/>
    </row>
    <row r="206" spans="1:14" ht="28.5" thickBot="1">
      <c r="A206" s="90" t="s">
        <v>74</v>
      </c>
      <c r="B206" s="857"/>
      <c r="C206" s="858"/>
      <c r="D206" s="859"/>
      <c r="E206" s="4"/>
      <c r="F206" s="840"/>
      <c r="G206" s="1101" t="s">
        <v>75</v>
      </c>
      <c r="H206" s="1102"/>
      <c r="I206" s="1103"/>
      <c r="J206" s="4"/>
      <c r="K206" s="4"/>
      <c r="L206" s="4"/>
      <c r="M206" s="4"/>
      <c r="N206" s="4"/>
    </row>
    <row r="207" spans="1:14" ht="12.75">
      <c r="A207" s="860" t="s">
        <v>76</v>
      </c>
      <c r="B207" s="830"/>
      <c r="C207" s="861"/>
      <c r="D207" s="91">
        <f>C202+D208</f>
        <v>312649</v>
      </c>
      <c r="E207" s="4"/>
      <c r="F207" s="4"/>
      <c r="G207" s="1104"/>
      <c r="H207" s="1105"/>
      <c r="I207" s="1106"/>
      <c r="J207" s="845"/>
      <c r="K207" s="845"/>
      <c r="L207" s="845"/>
      <c r="M207" s="845"/>
      <c r="N207" s="4"/>
    </row>
    <row r="208" spans="1:14" ht="12.75">
      <c r="A208" s="862" t="s">
        <v>77</v>
      </c>
      <c r="B208" s="813"/>
      <c r="C208" s="863"/>
      <c r="D208" s="92">
        <f>M240</f>
        <v>1596.5</v>
      </c>
      <c r="E208" s="4"/>
      <c r="F208" s="4"/>
      <c r="G208" s="805" t="s">
        <v>78</v>
      </c>
      <c r="H208" s="20"/>
      <c r="I208" s="28">
        <v>12394580</v>
      </c>
      <c r="J208" s="845"/>
      <c r="K208" s="845"/>
      <c r="L208" s="845"/>
      <c r="M208" s="845"/>
      <c r="N208" s="4"/>
    </row>
    <row r="209" spans="1:14" ht="12.75">
      <c r="A209" s="862" t="s">
        <v>79</v>
      </c>
      <c r="B209" s="813"/>
      <c r="C209" s="813"/>
      <c r="D209" s="92">
        <f>C191</f>
        <v>2604.5</v>
      </c>
      <c r="E209" s="4"/>
      <c r="F209" s="4"/>
      <c r="G209" s="805" t="s">
        <v>80</v>
      </c>
      <c r="H209" s="20"/>
      <c r="I209" s="28">
        <f>ROUND(I208*3.5%,0)</f>
        <v>433810</v>
      </c>
      <c r="J209" s="845"/>
      <c r="K209" s="4"/>
      <c r="L209" s="845"/>
      <c r="M209" s="845"/>
      <c r="N209" s="4"/>
    </row>
    <row r="210" spans="1:14" ht="12.75">
      <c r="A210" s="862" t="s">
        <v>81</v>
      </c>
      <c r="B210" s="813"/>
      <c r="C210" s="863"/>
      <c r="D210" s="93">
        <f>E202+D208</f>
        <v>288847.4</v>
      </c>
      <c r="E210" s="4"/>
      <c r="F210" s="4"/>
      <c r="G210" s="805" t="s">
        <v>82</v>
      </c>
      <c r="H210" s="20"/>
      <c r="I210" s="28">
        <f>I208-I209</f>
        <v>11960770</v>
      </c>
      <c r="J210" s="845"/>
      <c r="K210" s="845"/>
      <c r="L210" s="845"/>
      <c r="M210" s="845"/>
      <c r="N210" s="4"/>
    </row>
    <row r="211" spans="1:14" ht="25.5" customHeight="1">
      <c r="A211" s="1113" t="s">
        <v>83</v>
      </c>
      <c r="B211" s="1114"/>
      <c r="C211" s="1115"/>
      <c r="D211" s="94">
        <f>D210/303329-1</f>
        <v>-0.04774222049325971</v>
      </c>
      <c r="E211" s="4"/>
      <c r="F211" s="4"/>
      <c r="G211" s="805" t="s">
        <v>84</v>
      </c>
      <c r="H211" s="20"/>
      <c r="I211" s="28">
        <f>SUM(I209:I210)</f>
        <v>12394580</v>
      </c>
      <c r="J211" s="845"/>
      <c r="K211" s="845"/>
      <c r="L211" s="845"/>
      <c r="M211" s="845"/>
      <c r="N211" s="4"/>
    </row>
    <row r="212" spans="1:14" ht="12.75">
      <c r="A212" s="1107" t="s">
        <v>85</v>
      </c>
      <c r="B212" s="1108"/>
      <c r="C212" s="1109"/>
      <c r="D212" s="93">
        <f>K202</f>
        <v>470873.79413376027</v>
      </c>
      <c r="E212" s="4"/>
      <c r="F212" s="843"/>
      <c r="G212" s="4"/>
      <c r="H212" s="4"/>
      <c r="I212" s="785"/>
      <c r="L212" s="4"/>
      <c r="M212" s="7"/>
      <c r="N212" s="4"/>
    </row>
    <row r="213" spans="1:14" ht="24.75" customHeight="1">
      <c r="A213" s="1110" t="s">
        <v>86</v>
      </c>
      <c r="B213" s="1111"/>
      <c r="C213" s="1112"/>
      <c r="D213" s="95">
        <f>D212/D210</f>
        <v>1.6301818681205378</v>
      </c>
      <c r="E213" s="4"/>
      <c r="F213" s="4"/>
      <c r="G213" s="4"/>
      <c r="H213" s="4"/>
      <c r="I213" s="785"/>
      <c r="L213" s="4"/>
      <c r="M213" s="4"/>
      <c r="N213" s="4"/>
    </row>
    <row r="214" spans="1:14" ht="12.75">
      <c r="A214" s="864" t="s">
        <v>87</v>
      </c>
      <c r="B214" s="865"/>
      <c r="C214" s="866"/>
      <c r="D214" s="96">
        <f>D202+M240</f>
        <v>289481.5</v>
      </c>
      <c r="E214" s="4"/>
      <c r="F214" s="4"/>
      <c r="G214" s="845"/>
      <c r="H214" s="785"/>
      <c r="I214" s="4"/>
      <c r="J214" s="97"/>
      <c r="K214" s="786"/>
      <c r="L214" s="4"/>
      <c r="M214" s="4"/>
      <c r="N214" s="4"/>
    </row>
    <row r="215" spans="1:14" ht="12.75">
      <c r="A215" s="867" t="s">
        <v>88</v>
      </c>
      <c r="B215" s="868"/>
      <c r="C215" s="869"/>
      <c r="D215" s="98">
        <v>12394580</v>
      </c>
      <c r="E215" s="845"/>
      <c r="F215" s="845"/>
      <c r="G215" s="845"/>
      <c r="H215" s="785"/>
      <c r="I215" s="4"/>
      <c r="J215" s="4"/>
      <c r="K215" s="4"/>
      <c r="L215" s="4"/>
      <c r="M215" s="4"/>
      <c r="N215" s="4"/>
    </row>
    <row r="216" spans="1:14" ht="12.75">
      <c r="A216" s="867" t="s">
        <v>89</v>
      </c>
      <c r="B216" s="868"/>
      <c r="C216" s="869"/>
      <c r="D216" s="93">
        <v>3598426</v>
      </c>
      <c r="E216" s="845"/>
      <c r="F216" s="845"/>
      <c r="G216" s="845"/>
      <c r="H216" s="785"/>
      <c r="I216" s="4"/>
      <c r="J216" s="4"/>
      <c r="K216" s="4"/>
      <c r="L216" s="4"/>
      <c r="M216" s="4"/>
      <c r="N216" s="4"/>
    </row>
    <row r="217" spans="1:14" ht="12.75">
      <c r="A217" s="867" t="s">
        <v>90</v>
      </c>
      <c r="B217" s="868"/>
      <c r="C217" s="869"/>
      <c r="D217" s="93">
        <f>D215+D216</f>
        <v>15993006</v>
      </c>
      <c r="E217" s="845"/>
      <c r="F217" s="845"/>
      <c r="G217" s="4"/>
      <c r="H217" s="785"/>
      <c r="I217" s="4"/>
      <c r="J217" s="4"/>
      <c r="K217" s="4"/>
      <c r="L217" s="4"/>
      <c r="M217" s="4"/>
      <c r="N217" s="4"/>
    </row>
    <row r="218" spans="1:14" ht="12.75">
      <c r="A218" s="864" t="s">
        <v>91</v>
      </c>
      <c r="B218" s="865"/>
      <c r="C218" s="866"/>
      <c r="D218" s="99">
        <f>D215/D212*1000</f>
        <v>26322.509671198848</v>
      </c>
      <c r="E218" s="845"/>
      <c r="F218" s="845"/>
      <c r="G218" s="4"/>
      <c r="H218" s="4"/>
      <c r="I218" s="785"/>
      <c r="J218" s="4"/>
      <c r="K218" s="4"/>
      <c r="L218" s="4"/>
      <c r="M218" s="4"/>
      <c r="N218" s="4"/>
    </row>
    <row r="219" spans="1:14" ht="13.5" thickBot="1">
      <c r="A219" s="870" t="s">
        <v>92</v>
      </c>
      <c r="B219" s="871"/>
      <c r="C219" s="872"/>
      <c r="D219" s="100">
        <f>D217/D212*1000</f>
        <v>33964.52764890309</v>
      </c>
      <c r="E219" s="4"/>
      <c r="F219" s="4"/>
      <c r="G219" s="4"/>
      <c r="H219" s="4"/>
      <c r="I219" s="785"/>
      <c r="J219" s="4"/>
      <c r="K219" s="4"/>
      <c r="L219" s="4"/>
      <c r="M219" s="4"/>
      <c r="N219" s="4"/>
    </row>
    <row r="220" spans="1:14" ht="12.75">
      <c r="A220" s="4"/>
      <c r="B220" s="4"/>
      <c r="C220" s="784"/>
      <c r="D220" s="4"/>
      <c r="E220" s="785"/>
      <c r="F220" s="4"/>
      <c r="G220" s="4"/>
      <c r="H220" s="4"/>
      <c r="I220" s="785"/>
      <c r="J220" s="4"/>
      <c r="K220" s="4"/>
      <c r="L220" s="4"/>
      <c r="M220" s="4"/>
      <c r="N220" s="4"/>
    </row>
    <row r="221" spans="1:14" ht="12.75">
      <c r="A221" s="4"/>
      <c r="B221" s="4"/>
      <c r="C221" s="784"/>
      <c r="D221" s="4"/>
      <c r="E221" s="785"/>
      <c r="F221" s="4"/>
      <c r="G221" s="785"/>
      <c r="H221" s="785"/>
      <c r="I221" s="785"/>
      <c r="J221" s="4"/>
      <c r="K221" s="4"/>
      <c r="L221" s="4"/>
      <c r="M221" s="4"/>
      <c r="N221" s="4"/>
    </row>
    <row r="222" spans="1:14" ht="12.75">
      <c r="A222" s="4"/>
      <c r="B222" s="4"/>
      <c r="C222" s="784"/>
      <c r="D222" s="4"/>
      <c r="E222" s="785"/>
      <c r="F222" s="4"/>
      <c r="G222" s="785"/>
      <c r="H222" s="785"/>
      <c r="I222" s="785"/>
      <c r="J222" s="4"/>
      <c r="K222" s="4"/>
      <c r="L222" s="4"/>
      <c r="M222" s="4"/>
      <c r="N222" s="4"/>
    </row>
    <row r="223" spans="1:14" ht="18">
      <c r="A223" s="101" t="s">
        <v>93</v>
      </c>
      <c r="B223" s="4"/>
      <c r="C223" s="840"/>
      <c r="D223" s="4"/>
      <c r="E223" s="4"/>
      <c r="F223" s="4"/>
      <c r="G223" s="4"/>
      <c r="H223" s="4"/>
      <c r="I223" s="4"/>
      <c r="J223" s="785"/>
      <c r="K223" s="785"/>
      <c r="L223" s="873"/>
      <c r="M223" s="873"/>
      <c r="N223" s="873"/>
    </row>
    <row r="224" spans="1:14" ht="12.75">
      <c r="A224" s="4"/>
      <c r="B224" s="4"/>
      <c r="C224" s="840"/>
      <c r="D224" s="4"/>
      <c r="E224" s="4"/>
      <c r="F224" s="4"/>
      <c r="G224" s="4"/>
      <c r="H224" s="4"/>
      <c r="I224" s="785"/>
      <c r="J224" s="785"/>
      <c r="K224" s="785"/>
      <c r="L224" s="102"/>
      <c r="M224" s="873"/>
      <c r="N224" s="102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785"/>
      <c r="J225" s="4"/>
      <c r="K225" s="4"/>
      <c r="L225" s="4"/>
      <c r="M225" s="4"/>
      <c r="N225" s="4"/>
    </row>
    <row r="226" spans="1:14" ht="25.5">
      <c r="A226" s="103" t="s">
        <v>94</v>
      </c>
      <c r="B226" s="103" t="s">
        <v>15</v>
      </c>
      <c r="C226" s="103" t="s">
        <v>95</v>
      </c>
      <c r="D226" s="103" t="s">
        <v>96</v>
      </c>
      <c r="E226" s="103" t="s">
        <v>16</v>
      </c>
      <c r="F226" s="103" t="s">
        <v>97</v>
      </c>
      <c r="G226" s="104" t="s">
        <v>98</v>
      </c>
      <c r="H226" s="105" t="s">
        <v>99</v>
      </c>
      <c r="I226" s="105" t="s">
        <v>100</v>
      </c>
      <c r="J226" s="105" t="s">
        <v>101</v>
      </c>
      <c r="K226" s="105" t="s">
        <v>102</v>
      </c>
      <c r="L226" s="105" t="s">
        <v>33</v>
      </c>
      <c r="M226" s="106" t="s">
        <v>103</v>
      </c>
      <c r="N226" s="106" t="s">
        <v>104</v>
      </c>
    </row>
    <row r="227" spans="1:14" ht="12.75">
      <c r="A227" s="107"/>
      <c r="B227" s="107"/>
      <c r="C227" s="107"/>
      <c r="D227" s="107"/>
      <c r="E227" s="107"/>
      <c r="F227" s="107"/>
      <c r="G227" s="108"/>
      <c r="H227" s="109"/>
      <c r="I227" s="109"/>
      <c r="J227" s="109"/>
      <c r="K227" s="109"/>
      <c r="L227" s="109"/>
      <c r="M227" s="110"/>
      <c r="N227" s="110"/>
    </row>
    <row r="228" spans="1:14" ht="12.75">
      <c r="A228" s="111">
        <v>11000</v>
      </c>
      <c r="B228" s="111" t="s">
        <v>105</v>
      </c>
      <c r="C228" s="111"/>
      <c r="D228" s="111"/>
      <c r="E228" s="112" t="s">
        <v>6</v>
      </c>
      <c r="F228" s="111"/>
      <c r="G228" s="113"/>
      <c r="H228" s="112">
        <v>105</v>
      </c>
      <c r="I228" s="112">
        <v>1</v>
      </c>
      <c r="J228" s="112">
        <v>33</v>
      </c>
      <c r="K228" s="112">
        <v>0</v>
      </c>
      <c r="L228" s="112">
        <v>139</v>
      </c>
      <c r="M228" s="114">
        <v>138</v>
      </c>
      <c r="N228" s="114">
        <v>483</v>
      </c>
    </row>
    <row r="229" spans="1:14" ht="12.75">
      <c r="A229" s="111">
        <v>11000</v>
      </c>
      <c r="B229" s="111" t="s">
        <v>105</v>
      </c>
      <c r="C229" s="111"/>
      <c r="D229" s="111"/>
      <c r="E229" s="111" t="s">
        <v>11</v>
      </c>
      <c r="F229" s="111"/>
      <c r="G229" s="113"/>
      <c r="H229" s="112">
        <v>0</v>
      </c>
      <c r="I229" s="112">
        <v>0</v>
      </c>
      <c r="J229" s="112">
        <v>3</v>
      </c>
      <c r="K229" s="112">
        <v>0</v>
      </c>
      <c r="L229" s="112">
        <v>3</v>
      </c>
      <c r="M229" s="114">
        <v>3</v>
      </c>
      <c r="N229" s="114">
        <v>8.4</v>
      </c>
    </row>
    <row r="230" spans="1:14" ht="12.75">
      <c r="A230" s="111">
        <v>11000</v>
      </c>
      <c r="B230" s="111" t="s">
        <v>105</v>
      </c>
      <c r="C230" s="111"/>
      <c r="D230" s="111"/>
      <c r="E230" s="111" t="s">
        <v>13</v>
      </c>
      <c r="F230" s="111"/>
      <c r="G230" s="113"/>
      <c r="H230" s="112">
        <v>0</v>
      </c>
      <c r="I230" s="112">
        <v>27</v>
      </c>
      <c r="J230" s="112">
        <v>632</v>
      </c>
      <c r="K230" s="112">
        <v>9</v>
      </c>
      <c r="L230" s="112">
        <v>668</v>
      </c>
      <c r="M230" s="114">
        <v>636.5</v>
      </c>
      <c r="N230" s="114">
        <v>2222.85</v>
      </c>
    </row>
    <row r="231" spans="1:14" ht="12.75">
      <c r="A231" s="115">
        <v>11000</v>
      </c>
      <c r="B231" s="116" t="s">
        <v>105</v>
      </c>
      <c r="C231" s="116"/>
      <c r="D231" s="116"/>
      <c r="E231" s="116" t="s">
        <v>33</v>
      </c>
      <c r="F231" s="116"/>
      <c r="G231" s="117"/>
      <c r="H231" s="118">
        <v>105</v>
      </c>
      <c r="I231" s="118">
        <v>28</v>
      </c>
      <c r="J231" s="118">
        <v>668</v>
      </c>
      <c r="K231" s="118">
        <v>9</v>
      </c>
      <c r="L231" s="118">
        <v>810</v>
      </c>
      <c r="M231" s="119">
        <v>777.5</v>
      </c>
      <c r="N231" s="120">
        <v>2714.25</v>
      </c>
    </row>
    <row r="232" spans="1:14" ht="12.75">
      <c r="A232" s="111">
        <v>14000</v>
      </c>
      <c r="B232" s="111" t="s">
        <v>106</v>
      </c>
      <c r="C232" s="111"/>
      <c r="D232" s="111"/>
      <c r="E232" s="111" t="s">
        <v>6</v>
      </c>
      <c r="F232" s="111"/>
      <c r="G232" s="113"/>
      <c r="H232" s="112">
        <v>41</v>
      </c>
      <c r="I232" s="112">
        <v>1</v>
      </c>
      <c r="J232" s="112">
        <v>31</v>
      </c>
      <c r="K232" s="112">
        <v>0</v>
      </c>
      <c r="L232" s="112">
        <v>73</v>
      </c>
      <c r="M232" s="114">
        <v>72</v>
      </c>
      <c r="N232" s="114">
        <v>252</v>
      </c>
    </row>
    <row r="233" spans="1:14" ht="12.75">
      <c r="A233" s="111">
        <v>14000</v>
      </c>
      <c r="B233" s="111" t="s">
        <v>106</v>
      </c>
      <c r="C233" s="111"/>
      <c r="D233" s="111"/>
      <c r="E233" s="111" t="s">
        <v>11</v>
      </c>
      <c r="F233" s="111"/>
      <c r="G233" s="113"/>
      <c r="H233" s="112">
        <v>0</v>
      </c>
      <c r="I233" s="112">
        <v>0</v>
      </c>
      <c r="J233" s="112">
        <v>3</v>
      </c>
      <c r="K233" s="112">
        <v>0</v>
      </c>
      <c r="L233" s="112">
        <v>3</v>
      </c>
      <c r="M233" s="114">
        <v>3</v>
      </c>
      <c r="N233" s="114">
        <v>8.4</v>
      </c>
    </row>
    <row r="234" spans="1:14" ht="12.75">
      <c r="A234" s="111">
        <v>14000</v>
      </c>
      <c r="B234" s="111" t="s">
        <v>106</v>
      </c>
      <c r="C234" s="111"/>
      <c r="D234" s="111"/>
      <c r="E234" s="111" t="s">
        <v>13</v>
      </c>
      <c r="F234" s="111"/>
      <c r="G234" s="113"/>
      <c r="H234" s="112">
        <v>0</v>
      </c>
      <c r="I234" s="112">
        <v>17</v>
      </c>
      <c r="J234" s="112">
        <v>294</v>
      </c>
      <c r="K234" s="112">
        <v>1</v>
      </c>
      <c r="L234" s="112">
        <v>312</v>
      </c>
      <c r="M234" s="114">
        <v>294.5</v>
      </c>
      <c r="N234" s="114">
        <v>1020.25</v>
      </c>
    </row>
    <row r="235" spans="1:14" ht="12.75">
      <c r="A235" s="115">
        <v>14000</v>
      </c>
      <c r="B235" s="116" t="s">
        <v>106</v>
      </c>
      <c r="C235" s="116"/>
      <c r="D235" s="116"/>
      <c r="E235" s="116" t="s">
        <v>33</v>
      </c>
      <c r="F235" s="116"/>
      <c r="G235" s="117"/>
      <c r="H235" s="118">
        <v>41</v>
      </c>
      <c r="I235" s="118">
        <v>18</v>
      </c>
      <c r="J235" s="118">
        <v>328</v>
      </c>
      <c r="K235" s="118">
        <v>1</v>
      </c>
      <c r="L235" s="118">
        <v>388</v>
      </c>
      <c r="M235" s="119">
        <v>369.5</v>
      </c>
      <c r="N235" s="120">
        <v>1280.65</v>
      </c>
    </row>
    <row r="236" spans="1:14" ht="12.75">
      <c r="A236" s="111">
        <v>15000</v>
      </c>
      <c r="B236" s="111" t="s">
        <v>107</v>
      </c>
      <c r="C236" s="111"/>
      <c r="D236" s="111"/>
      <c r="E236" s="111" t="s">
        <v>6</v>
      </c>
      <c r="F236" s="111"/>
      <c r="G236" s="113"/>
      <c r="H236" s="112">
        <v>49</v>
      </c>
      <c r="I236" s="112">
        <v>0</v>
      </c>
      <c r="J236" s="112">
        <v>32</v>
      </c>
      <c r="K236" s="112">
        <v>1</v>
      </c>
      <c r="L236" s="112">
        <v>82</v>
      </c>
      <c r="M236" s="114">
        <v>81.5</v>
      </c>
      <c r="N236" s="114">
        <v>285.25</v>
      </c>
    </row>
    <row r="237" spans="1:14" ht="12.75">
      <c r="A237" s="111">
        <v>15000</v>
      </c>
      <c r="B237" s="111" t="s">
        <v>107</v>
      </c>
      <c r="C237" s="111"/>
      <c r="D237" s="111"/>
      <c r="E237" s="111" t="s">
        <v>11</v>
      </c>
      <c r="F237" s="111"/>
      <c r="G237" s="113"/>
      <c r="H237" s="112">
        <v>0</v>
      </c>
      <c r="I237" s="112">
        <v>0</v>
      </c>
      <c r="J237" s="112">
        <v>9</v>
      </c>
      <c r="K237" s="112">
        <v>0</v>
      </c>
      <c r="L237" s="112">
        <v>9</v>
      </c>
      <c r="M237" s="112">
        <v>9</v>
      </c>
      <c r="N237" s="112">
        <v>25.2</v>
      </c>
    </row>
    <row r="238" spans="1:14" ht="12.75">
      <c r="A238" s="111">
        <v>15000</v>
      </c>
      <c r="B238" s="111" t="s">
        <v>107</v>
      </c>
      <c r="C238" s="111"/>
      <c r="D238" s="111"/>
      <c r="E238" s="111" t="s">
        <v>13</v>
      </c>
      <c r="F238" s="111"/>
      <c r="G238" s="113"/>
      <c r="H238" s="112">
        <v>0</v>
      </c>
      <c r="I238" s="112">
        <v>15</v>
      </c>
      <c r="J238" s="112">
        <v>359</v>
      </c>
      <c r="K238" s="112">
        <v>0</v>
      </c>
      <c r="L238" s="112">
        <v>374</v>
      </c>
      <c r="M238" s="114">
        <v>359</v>
      </c>
      <c r="N238" s="114">
        <v>1239</v>
      </c>
    </row>
    <row r="239" spans="1:14" ht="12.75">
      <c r="A239" s="115">
        <v>15000</v>
      </c>
      <c r="B239" s="116" t="s">
        <v>107</v>
      </c>
      <c r="C239" s="116"/>
      <c r="D239" s="116"/>
      <c r="E239" s="116" t="s">
        <v>33</v>
      </c>
      <c r="F239" s="116"/>
      <c r="G239" s="117"/>
      <c r="H239" s="118">
        <v>49</v>
      </c>
      <c r="I239" s="118">
        <v>15</v>
      </c>
      <c r="J239" s="118">
        <v>400</v>
      </c>
      <c r="K239" s="118">
        <v>1</v>
      </c>
      <c r="L239" s="118">
        <v>465</v>
      </c>
      <c r="M239" s="119">
        <v>449.5</v>
      </c>
      <c r="N239" s="120">
        <v>1549.45</v>
      </c>
    </row>
    <row r="240" spans="1:14" ht="12.75">
      <c r="A240" s="115"/>
      <c r="B240" s="116" t="s">
        <v>33</v>
      </c>
      <c r="C240" s="116"/>
      <c r="D240" s="116"/>
      <c r="E240" s="116"/>
      <c r="F240" s="116"/>
      <c r="G240" s="117"/>
      <c r="H240" s="118">
        <v>195</v>
      </c>
      <c r="I240" s="118">
        <v>61</v>
      </c>
      <c r="J240" s="118">
        <v>1396</v>
      </c>
      <c r="K240" s="118">
        <v>11</v>
      </c>
      <c r="L240" s="118">
        <v>1663</v>
      </c>
      <c r="M240" s="119">
        <v>1596.5</v>
      </c>
      <c r="N240" s="120">
        <v>5544.35</v>
      </c>
    </row>
  </sheetData>
  <sheetProtection/>
  <autoFilter ref="A13:N150"/>
  <mergeCells count="6">
    <mergeCell ref="A3:B3"/>
    <mergeCell ref="E4:N5"/>
    <mergeCell ref="G206:I207"/>
    <mergeCell ref="A212:C212"/>
    <mergeCell ref="A213:C213"/>
    <mergeCell ref="A211:C2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40" r:id="rId1"/>
  <ignoredErrors>
    <ignoredError sqref="E20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J202"/>
  <sheetViews>
    <sheetView zoomScaleSheetLayoutView="100" zoomScalePageLayoutView="0" workbookViewId="0" topLeftCell="A1">
      <pane xSplit="2" ySplit="5" topLeftCell="C2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J45" sqref="BJ45"/>
    </sheetView>
  </sheetViews>
  <sheetFormatPr defaultColWidth="7.7109375" defaultRowHeight="12.75"/>
  <cols>
    <col min="1" max="1" width="5.7109375" style="635" customWidth="1"/>
    <col min="2" max="2" width="11.00390625" style="635" customWidth="1"/>
    <col min="3" max="3" width="8.421875" style="635" customWidth="1"/>
    <col min="4" max="4" width="7.140625" style="635" customWidth="1"/>
    <col min="5" max="5" width="7.57421875" style="635" customWidth="1"/>
    <col min="6" max="6" width="7.421875" style="635" customWidth="1"/>
    <col min="7" max="7" width="9.140625" style="636" customWidth="1"/>
    <col min="8" max="8" width="7.28125" style="636" customWidth="1"/>
    <col min="9" max="9" width="8.57421875" style="636" customWidth="1"/>
    <col min="10" max="10" width="7.28125" style="636" customWidth="1"/>
    <col min="11" max="11" width="8.8515625" style="636" customWidth="1"/>
    <col min="12" max="12" width="7.421875" style="636" customWidth="1"/>
    <col min="13" max="13" width="2.28125" style="636" customWidth="1"/>
    <col min="14" max="15" width="8.00390625" style="636" customWidth="1"/>
    <col min="16" max="16" width="7.8515625" style="636" customWidth="1"/>
    <col min="17" max="17" width="8.140625" style="636" customWidth="1"/>
    <col min="18" max="18" width="8.57421875" style="635" customWidth="1"/>
    <col min="19" max="19" width="8.28125" style="635" customWidth="1"/>
    <col min="20" max="20" width="8.7109375" style="635" customWidth="1"/>
    <col min="21" max="21" width="8.00390625" style="635" customWidth="1"/>
    <col min="22" max="23" width="7.8515625" style="635" customWidth="1"/>
    <col min="24" max="24" width="8.00390625" style="635" customWidth="1"/>
    <col min="25" max="25" width="6.7109375" style="635" customWidth="1"/>
    <col min="26" max="26" width="2.421875" style="637" customWidth="1"/>
    <col min="27" max="27" width="7.8515625" style="635" customWidth="1"/>
    <col min="28" max="28" width="7.7109375" style="635" customWidth="1"/>
    <col min="29" max="29" width="7.421875" style="635" customWidth="1"/>
    <col min="30" max="30" width="7.140625" style="635" customWidth="1"/>
    <col min="31" max="31" width="6.57421875" style="635" customWidth="1"/>
    <col min="32" max="33" width="6.7109375" style="635" customWidth="1"/>
    <col min="34" max="34" width="6.28125" style="635" customWidth="1"/>
    <col min="35" max="35" width="7.00390625" style="635" customWidth="1"/>
    <col min="36" max="36" width="7.7109375" style="635" customWidth="1"/>
    <col min="37" max="37" width="7.00390625" style="635" customWidth="1"/>
    <col min="38" max="38" width="8.140625" style="635" customWidth="1"/>
    <col min="39" max="39" width="6.28125" style="635" customWidth="1"/>
    <col min="40" max="40" width="6.8515625" style="635" customWidth="1"/>
    <col min="41" max="41" width="6.421875" style="635" customWidth="1"/>
    <col min="42" max="42" width="6.7109375" style="635" customWidth="1"/>
    <col min="43" max="43" width="7.421875" style="635" customWidth="1"/>
    <col min="44" max="44" width="6.421875" style="635" customWidth="1"/>
    <col min="45" max="45" width="8.8515625" style="635" customWidth="1"/>
    <col min="46" max="46" width="6.57421875" style="635" customWidth="1"/>
    <col min="47" max="47" width="8.57421875" style="635" customWidth="1"/>
    <col min="48" max="48" width="7.28125" style="635" customWidth="1"/>
    <col min="49" max="49" width="8.421875" style="635" customWidth="1"/>
    <col min="50" max="50" width="7.00390625" style="635" customWidth="1"/>
    <col min="51" max="51" width="7.421875" style="635" customWidth="1"/>
    <col min="52" max="52" width="6.8515625" style="635" customWidth="1"/>
    <col min="53" max="53" width="7.7109375" style="635" customWidth="1"/>
    <col min="54" max="54" width="7.00390625" style="635" customWidth="1"/>
    <col min="55" max="56" width="6.28125" style="635" bestFit="1" customWidth="1"/>
    <col min="57" max="57" width="8.57421875" style="635" customWidth="1"/>
    <col min="58" max="58" width="6.7109375" style="635" customWidth="1"/>
    <col min="59" max="59" width="2.140625" style="638" customWidth="1"/>
    <col min="60" max="60" width="8.28125" style="635" customWidth="1"/>
    <col min="61" max="61" width="11.421875" style="635" customWidth="1"/>
    <col min="62" max="62" width="9.57421875" style="635" bestFit="1" customWidth="1"/>
    <col min="63" max="16384" width="7.7109375" style="635" customWidth="1"/>
  </cols>
  <sheetData>
    <row r="1" spans="1:18" ht="15">
      <c r="A1" s="638"/>
      <c r="G1" s="123"/>
      <c r="H1" s="123"/>
      <c r="I1" s="123"/>
      <c r="J1" s="123"/>
      <c r="K1" s="123"/>
      <c r="L1" s="123"/>
      <c r="N1" s="123"/>
      <c r="O1" s="123"/>
      <c r="P1" s="123"/>
      <c r="Q1" s="123"/>
      <c r="R1" s="123"/>
    </row>
    <row r="2" spans="1:59" ht="20.25" thickBot="1">
      <c r="A2" s="634" t="s">
        <v>407</v>
      </c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Z2" s="635"/>
      <c r="BG2" s="635"/>
    </row>
    <row r="3" spans="1:61" s="638" customFormat="1" ht="23.25" customHeight="1">
      <c r="A3" s="1116" t="s">
        <v>341</v>
      </c>
      <c r="B3" s="1117"/>
      <c r="C3" s="1122" t="s">
        <v>408</v>
      </c>
      <c r="D3" s="1123"/>
      <c r="E3" s="1123"/>
      <c r="F3" s="1123"/>
      <c r="G3" s="1123"/>
      <c r="H3" s="1123"/>
      <c r="I3" s="1123"/>
      <c r="J3" s="1123"/>
      <c r="K3" s="1123"/>
      <c r="L3" s="1124"/>
      <c r="M3" s="639"/>
      <c r="N3" s="1125" t="s">
        <v>409</v>
      </c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7"/>
      <c r="AA3" s="1128" t="s">
        <v>410</v>
      </c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  <c r="BA3" s="1129"/>
      <c r="BB3" s="1129"/>
      <c r="BC3" s="1129"/>
      <c r="BD3" s="1129"/>
      <c r="BE3" s="1129"/>
      <c r="BF3" s="1130"/>
      <c r="BH3" s="1131" t="s">
        <v>411</v>
      </c>
      <c r="BI3" s="1134" t="s">
        <v>412</v>
      </c>
    </row>
    <row r="4" spans="1:61" s="641" customFormat="1" ht="27" customHeight="1">
      <c r="A4" s="1118"/>
      <c r="B4" s="1119"/>
      <c r="C4" s="1137" t="s">
        <v>413</v>
      </c>
      <c r="D4" s="1138"/>
      <c r="E4" s="1138" t="s">
        <v>415</v>
      </c>
      <c r="F4" s="1138"/>
      <c r="G4" s="1138" t="s">
        <v>416</v>
      </c>
      <c r="H4" s="1138"/>
      <c r="I4" s="1141" t="s">
        <v>414</v>
      </c>
      <c r="J4" s="1142"/>
      <c r="K4" s="1138" t="s">
        <v>417</v>
      </c>
      <c r="L4" s="1148"/>
      <c r="M4" s="640"/>
      <c r="N4" s="1150" t="s">
        <v>418</v>
      </c>
      <c r="O4" s="1151"/>
      <c r="P4" s="1151"/>
      <c r="Q4" s="1152" t="s">
        <v>419</v>
      </c>
      <c r="R4" s="1154" t="s">
        <v>420</v>
      </c>
      <c r="S4" s="1155"/>
      <c r="T4" s="1155"/>
      <c r="U4" s="1155"/>
      <c r="V4" s="1155"/>
      <c r="W4" s="1156"/>
      <c r="X4" s="1157" t="s">
        <v>421</v>
      </c>
      <c r="Y4" s="1158"/>
      <c r="AA4" s="1161" t="s">
        <v>422</v>
      </c>
      <c r="AB4" s="1162"/>
      <c r="AC4" s="1162"/>
      <c r="AD4" s="1162"/>
      <c r="AE4" s="1162"/>
      <c r="AF4" s="1163"/>
      <c r="AG4" s="1164" t="s">
        <v>422</v>
      </c>
      <c r="AH4" s="1165"/>
      <c r="AI4" s="1168" t="s">
        <v>423</v>
      </c>
      <c r="AJ4" s="1162"/>
      <c r="AK4" s="1162"/>
      <c r="AL4" s="1162"/>
      <c r="AM4" s="1162"/>
      <c r="AN4" s="1163"/>
      <c r="AO4" s="1164" t="s">
        <v>423</v>
      </c>
      <c r="AP4" s="1165"/>
      <c r="AQ4" s="1168" t="s">
        <v>424</v>
      </c>
      <c r="AR4" s="1162"/>
      <c r="AS4" s="1162"/>
      <c r="AT4" s="1162"/>
      <c r="AU4" s="1162"/>
      <c r="AV4" s="1163"/>
      <c r="AW4" s="1164" t="s">
        <v>424</v>
      </c>
      <c r="AX4" s="1165"/>
      <c r="AY4" s="1168" t="s">
        <v>425</v>
      </c>
      <c r="AZ4" s="1162"/>
      <c r="BA4" s="1162"/>
      <c r="BB4" s="1162"/>
      <c r="BC4" s="1162"/>
      <c r="BD4" s="1163"/>
      <c r="BE4" s="1164" t="s">
        <v>425</v>
      </c>
      <c r="BF4" s="1173"/>
      <c r="BH4" s="1132"/>
      <c r="BI4" s="1135"/>
    </row>
    <row r="5" spans="1:61" s="638" customFormat="1" ht="18" customHeight="1" thickBot="1">
      <c r="A5" s="1120"/>
      <c r="B5" s="1121"/>
      <c r="C5" s="1139"/>
      <c r="D5" s="1140"/>
      <c r="E5" s="1140"/>
      <c r="F5" s="1140"/>
      <c r="G5" s="1140"/>
      <c r="H5" s="1140"/>
      <c r="I5" s="1143"/>
      <c r="J5" s="1144"/>
      <c r="K5" s="1140"/>
      <c r="L5" s="1149"/>
      <c r="M5" s="640"/>
      <c r="N5" s="642" t="s">
        <v>426</v>
      </c>
      <c r="O5" s="643" t="s">
        <v>427</v>
      </c>
      <c r="P5" s="644" t="s">
        <v>428</v>
      </c>
      <c r="Q5" s="1153"/>
      <c r="R5" s="1175" t="s">
        <v>429</v>
      </c>
      <c r="S5" s="1176"/>
      <c r="T5" s="1176" t="s">
        <v>430</v>
      </c>
      <c r="U5" s="1176"/>
      <c r="V5" s="1176" t="s">
        <v>431</v>
      </c>
      <c r="W5" s="1159"/>
      <c r="X5" s="1159"/>
      <c r="Y5" s="1160"/>
      <c r="AA5" s="1177" t="s">
        <v>432</v>
      </c>
      <c r="AB5" s="1145"/>
      <c r="AC5" s="1145" t="s">
        <v>433</v>
      </c>
      <c r="AD5" s="1145"/>
      <c r="AE5" s="1145" t="s">
        <v>434</v>
      </c>
      <c r="AF5" s="1146"/>
      <c r="AG5" s="1166"/>
      <c r="AH5" s="1167"/>
      <c r="AI5" s="1147" t="s">
        <v>432</v>
      </c>
      <c r="AJ5" s="1145"/>
      <c r="AK5" s="1145" t="s">
        <v>433</v>
      </c>
      <c r="AL5" s="1145"/>
      <c r="AM5" s="1145" t="s">
        <v>434</v>
      </c>
      <c r="AN5" s="1146"/>
      <c r="AO5" s="1166"/>
      <c r="AP5" s="1167"/>
      <c r="AQ5" s="1147" t="s">
        <v>432</v>
      </c>
      <c r="AR5" s="1145"/>
      <c r="AS5" s="1145" t="s">
        <v>433</v>
      </c>
      <c r="AT5" s="1145"/>
      <c r="AU5" s="1145" t="s">
        <v>434</v>
      </c>
      <c r="AV5" s="1146"/>
      <c r="AW5" s="1166"/>
      <c r="AX5" s="1167"/>
      <c r="AY5" s="1147" t="s">
        <v>432</v>
      </c>
      <c r="AZ5" s="1145"/>
      <c r="BA5" s="1145" t="s">
        <v>433</v>
      </c>
      <c r="BB5" s="1145"/>
      <c r="BC5" s="1145" t="s">
        <v>434</v>
      </c>
      <c r="BD5" s="1146"/>
      <c r="BE5" s="1166"/>
      <c r="BF5" s="1174"/>
      <c r="BH5" s="1133"/>
      <c r="BI5" s="1136"/>
    </row>
    <row r="6" spans="1:61" s="638" customFormat="1" ht="12.75" customHeight="1" thickBot="1">
      <c r="A6" s="1169" t="s">
        <v>435</v>
      </c>
      <c r="B6" s="1170"/>
      <c r="C6" s="645"/>
      <c r="D6" s="646">
        <v>0.26</v>
      </c>
      <c r="E6" s="648"/>
      <c r="F6" s="646">
        <v>0.02</v>
      </c>
      <c r="G6" s="648"/>
      <c r="H6" s="646">
        <v>0.03</v>
      </c>
      <c r="I6" s="647"/>
      <c r="J6" s="647">
        <v>0.05</v>
      </c>
      <c r="K6" s="649"/>
      <c r="L6" s="650">
        <v>0.03</v>
      </c>
      <c r="M6" s="651"/>
      <c r="N6" s="652"/>
      <c r="O6" s="653"/>
      <c r="P6" s="653"/>
      <c r="Q6" s="654">
        <v>0.02</v>
      </c>
      <c r="R6" s="655"/>
      <c r="S6" s="656"/>
      <c r="T6" s="655"/>
      <c r="U6" s="656"/>
      <c r="V6" s="655"/>
      <c r="W6" s="656"/>
      <c r="X6" s="657"/>
      <c r="Y6" s="658">
        <v>0.32</v>
      </c>
      <c r="Z6" s="659"/>
      <c r="AA6" s="660"/>
      <c r="AB6" s="661"/>
      <c r="AC6" s="653"/>
      <c r="AD6" s="662"/>
      <c r="AE6" s="653"/>
      <c r="AF6" s="661"/>
      <c r="AG6" s="657"/>
      <c r="AH6" s="663">
        <v>0.02</v>
      </c>
      <c r="AI6" s="664"/>
      <c r="AJ6" s="661"/>
      <c r="AK6" s="653"/>
      <c r="AL6" s="662"/>
      <c r="AM6" s="653"/>
      <c r="AN6" s="661"/>
      <c r="AO6" s="657"/>
      <c r="AP6" s="665">
        <v>0.03</v>
      </c>
      <c r="AQ6" s="664"/>
      <c r="AR6" s="661"/>
      <c r="AS6" s="653"/>
      <c r="AT6" s="662"/>
      <c r="AU6" s="653"/>
      <c r="AV6" s="661"/>
      <c r="AW6" s="657"/>
      <c r="AX6" s="665">
        <v>0.11</v>
      </c>
      <c r="AY6" s="664"/>
      <c r="AZ6" s="661"/>
      <c r="BA6" s="653"/>
      <c r="BB6" s="662"/>
      <c r="BC6" s="653"/>
      <c r="BD6" s="661"/>
      <c r="BE6" s="657"/>
      <c r="BF6" s="666">
        <v>0.11</v>
      </c>
      <c r="BH6" s="667">
        <f>SUM(C6:BF6)</f>
        <v>1</v>
      </c>
      <c r="BI6" s="668">
        <v>3598426</v>
      </c>
    </row>
    <row r="7" spans="1:62" s="680" customFormat="1" ht="12.75" customHeight="1">
      <c r="A7" s="1171" t="s">
        <v>436</v>
      </c>
      <c r="B7" s="1172"/>
      <c r="C7" s="669"/>
      <c r="D7" s="670">
        <v>1.0000000000000004</v>
      </c>
      <c r="E7" s="672"/>
      <c r="F7" s="670">
        <f>SUM(F8:F33)</f>
        <v>1</v>
      </c>
      <c r="G7" s="672"/>
      <c r="H7" s="670">
        <f>SUM(H8:H33)</f>
        <v>1.0000000000000002</v>
      </c>
      <c r="I7" s="671"/>
      <c r="J7" s="671">
        <f>SUM(J8:J33)</f>
        <v>0.9999999999999999</v>
      </c>
      <c r="K7" s="673"/>
      <c r="L7" s="674">
        <f>SUM(L8:L33)</f>
        <v>1</v>
      </c>
      <c r="M7" s="651"/>
      <c r="N7" s="675"/>
      <c r="O7" s="676"/>
      <c r="P7" s="676"/>
      <c r="Q7" s="677">
        <f>SUM(Q8:Q33)</f>
        <v>1</v>
      </c>
      <c r="R7" s="672"/>
      <c r="S7" s="678"/>
      <c r="T7" s="679"/>
      <c r="U7" s="678"/>
      <c r="V7" s="679"/>
      <c r="W7" s="671"/>
      <c r="X7" s="679"/>
      <c r="Y7" s="674">
        <f>SUM(Y8:Y33)</f>
        <v>0.9999999999999997</v>
      </c>
      <c r="AA7" s="669"/>
      <c r="AB7" s="678"/>
      <c r="AC7" s="679"/>
      <c r="AD7" s="678"/>
      <c r="AE7" s="679"/>
      <c r="AF7" s="671"/>
      <c r="AG7" s="679"/>
      <c r="AH7" s="671">
        <f>SUM(AH8:AH33)</f>
        <v>0.9999999999999999</v>
      </c>
      <c r="AI7" s="672"/>
      <c r="AJ7" s="678"/>
      <c r="AK7" s="679"/>
      <c r="AL7" s="678"/>
      <c r="AM7" s="679"/>
      <c r="AN7" s="671"/>
      <c r="AO7" s="679"/>
      <c r="AP7" s="670">
        <f>SUM(AP8:AP33)</f>
        <v>1.0000000000000002</v>
      </c>
      <c r="AQ7" s="672"/>
      <c r="AR7" s="678"/>
      <c r="AS7" s="679"/>
      <c r="AT7" s="678"/>
      <c r="AU7" s="679"/>
      <c r="AV7" s="671"/>
      <c r="AW7" s="679"/>
      <c r="AX7" s="670">
        <f>SUM(AX8:AX33)</f>
        <v>1.0000000000000002</v>
      </c>
      <c r="AY7" s="672"/>
      <c r="AZ7" s="678"/>
      <c r="BA7" s="679"/>
      <c r="BB7" s="678"/>
      <c r="BC7" s="679"/>
      <c r="BD7" s="671"/>
      <c r="BE7" s="679"/>
      <c r="BF7" s="674">
        <f>SUM(BF8:BF33)</f>
        <v>1</v>
      </c>
      <c r="BH7" s="977">
        <f>SUM(BH8:BH33)</f>
        <v>0.9999999999999998</v>
      </c>
      <c r="BI7" s="978">
        <f>SUM(BI8:BI33)</f>
        <v>3598426</v>
      </c>
      <c r="BJ7" s="982"/>
    </row>
    <row r="8" spans="1:62" s="638" customFormat="1" ht="11.25" customHeight="1">
      <c r="A8" s="681">
        <v>11000</v>
      </c>
      <c r="B8" s="682" t="s">
        <v>121</v>
      </c>
      <c r="C8" s="683"/>
      <c r="D8" s="684">
        <f>D64</f>
        <v>0.2790466984621607</v>
      </c>
      <c r="E8" s="685"/>
      <c r="F8" s="684">
        <f>F64</f>
        <v>0</v>
      </c>
      <c r="G8" s="686"/>
      <c r="H8" s="684">
        <f>(H64*5+H92*3+H120*2)/10</f>
        <v>0.26210190742246275</v>
      </c>
      <c r="I8" s="651"/>
      <c r="J8" s="651">
        <f>J64</f>
        <v>0.24726685801952142</v>
      </c>
      <c r="K8" s="687"/>
      <c r="L8" s="688">
        <f aca="true" t="shared" si="0" ref="L8:L32">(L64*5+L92*3+L120*2)/10</f>
        <v>0.3110529460727017</v>
      </c>
      <c r="M8" s="651"/>
      <c r="N8" s="689"/>
      <c r="O8" s="690"/>
      <c r="P8" s="690"/>
      <c r="Q8" s="691">
        <f>(Q64*5+Q92*3+Q120*2)/10</f>
        <v>0.23753065494463005</v>
      </c>
      <c r="R8" s="687"/>
      <c r="S8" s="692"/>
      <c r="T8" s="693"/>
      <c r="U8" s="692"/>
      <c r="V8" s="693"/>
      <c r="W8" s="651"/>
      <c r="X8" s="694"/>
      <c r="Y8" s="688">
        <f>Y36</f>
        <v>0.13487964848852393</v>
      </c>
      <c r="AA8" s="695"/>
      <c r="AB8" s="692"/>
      <c r="AC8" s="693"/>
      <c r="AD8" s="692"/>
      <c r="AE8" s="693"/>
      <c r="AF8" s="651"/>
      <c r="AG8" s="694"/>
      <c r="AH8" s="651">
        <f>(AH36*5+AH64*3+AH92*2)/10</f>
        <v>0.17606442682864404</v>
      </c>
      <c r="AI8" s="687"/>
      <c r="AJ8" s="692"/>
      <c r="AK8" s="693"/>
      <c r="AL8" s="692"/>
      <c r="AM8" s="693"/>
      <c r="AN8" s="651"/>
      <c r="AO8" s="694"/>
      <c r="AP8" s="651">
        <f>(AP36*5+AP64*3+AP92*2)/10</f>
        <v>0.547513709918565</v>
      </c>
      <c r="AQ8" s="687"/>
      <c r="AR8" s="692"/>
      <c r="AS8" s="693"/>
      <c r="AT8" s="692"/>
      <c r="AU8" s="693"/>
      <c r="AV8" s="651"/>
      <c r="AW8" s="694"/>
      <c r="AX8" s="651">
        <f>(AX36*5+AX64*3+AX92*2)/10</f>
        <v>0.1543999523574498</v>
      </c>
      <c r="AY8" s="687"/>
      <c r="AZ8" s="692"/>
      <c r="BA8" s="693"/>
      <c r="BB8" s="692"/>
      <c r="BC8" s="693"/>
      <c r="BD8" s="651"/>
      <c r="BE8" s="694"/>
      <c r="BF8" s="688">
        <f>(BF36*5+BF64*3+BF92*2)/10</f>
        <v>0.24194099231761138</v>
      </c>
      <c r="BH8" s="696">
        <f aca="true" t="shared" si="1" ref="BH8:BH33">SUMPRODUCT(C$6:BF$6,C8:BF8)</f>
        <v>0.2135664344695996</v>
      </c>
      <c r="BI8" s="697">
        <f>ROUND(BH8*BI$6,0)</f>
        <v>768503</v>
      </c>
      <c r="BJ8" s="983"/>
    </row>
    <row r="9" spans="1:62" s="638" customFormat="1" ht="11.25" customHeight="1">
      <c r="A9" s="681">
        <v>12000</v>
      </c>
      <c r="B9" s="682" t="s">
        <v>122</v>
      </c>
      <c r="C9" s="683"/>
      <c r="D9" s="684">
        <f aca="true" t="shared" si="2" ref="D9:D33">D65</f>
        <v>0.03858410431032915</v>
      </c>
      <c r="E9" s="685"/>
      <c r="F9" s="684">
        <f aca="true" t="shared" si="3" ref="F9:F32">F65</f>
        <v>0</v>
      </c>
      <c r="G9" s="686"/>
      <c r="H9" s="684">
        <f aca="true" t="shared" si="4" ref="H9:H33">(H65*5+H93*3+H121*2)/10</f>
        <v>0.03226276175243507</v>
      </c>
      <c r="I9" s="651"/>
      <c r="J9" s="651">
        <f aca="true" t="shared" si="5" ref="J9:J33">J65</f>
        <v>0.017942476476505827</v>
      </c>
      <c r="K9" s="687"/>
      <c r="L9" s="688">
        <f t="shared" si="0"/>
        <v>0.024309207133146233</v>
      </c>
      <c r="M9" s="651"/>
      <c r="N9" s="689"/>
      <c r="O9" s="690"/>
      <c r="P9" s="690"/>
      <c r="Q9" s="691">
        <f aca="true" t="shared" si="6" ref="Q9:Q33">(Q65*5+Q93*3+Q121*2)/10</f>
        <v>0.029551470174264165</v>
      </c>
      <c r="R9" s="687"/>
      <c r="S9" s="692"/>
      <c r="T9" s="693"/>
      <c r="U9" s="692"/>
      <c r="V9" s="693"/>
      <c r="W9" s="651"/>
      <c r="X9" s="698"/>
      <c r="Y9" s="688">
        <f aca="true" t="shared" si="7" ref="Y9:Y32">Y37</f>
        <v>0.04209201987682322</v>
      </c>
      <c r="AA9" s="695"/>
      <c r="AB9" s="692"/>
      <c r="AC9" s="693"/>
      <c r="AD9" s="692"/>
      <c r="AE9" s="693"/>
      <c r="AF9" s="651"/>
      <c r="AG9" s="698"/>
      <c r="AH9" s="651">
        <f aca="true" t="shared" si="8" ref="AH9:AH32">(AH37*5+AH65*3+AH93*2)/10</f>
        <v>0.010642245395830939</v>
      </c>
      <c r="AI9" s="687"/>
      <c r="AJ9" s="692"/>
      <c r="AK9" s="693"/>
      <c r="AL9" s="692"/>
      <c r="AM9" s="693"/>
      <c r="AN9" s="651"/>
      <c r="AO9" s="698"/>
      <c r="AP9" s="651">
        <f aca="true" t="shared" si="9" ref="AP9:AP32">(AP37*5+AP65*3+AP93*2)/10</f>
        <v>0.00010699764605178686</v>
      </c>
      <c r="AQ9" s="687"/>
      <c r="AR9" s="692"/>
      <c r="AS9" s="693"/>
      <c r="AT9" s="692"/>
      <c r="AU9" s="693"/>
      <c r="AV9" s="651"/>
      <c r="AW9" s="694"/>
      <c r="AX9" s="651">
        <f aca="true" t="shared" si="10" ref="AX9:AX32">(AX37*5+AX65*3+AX93*2)/10</f>
        <v>0.016752177832930478</v>
      </c>
      <c r="AY9" s="687"/>
      <c r="AZ9" s="692"/>
      <c r="BA9" s="693"/>
      <c r="BB9" s="692"/>
      <c r="BC9" s="693"/>
      <c r="BD9" s="651"/>
      <c r="BE9" s="694"/>
      <c r="BF9" s="688">
        <f aca="true" t="shared" si="11" ref="BF9:BF32">(BF37*5+BF65*3+BF93*2)/10</f>
        <v>0.009954181927337217</v>
      </c>
      <c r="BH9" s="696">
        <f t="shared" si="1"/>
        <v>0.02984038018607464</v>
      </c>
      <c r="BI9" s="697">
        <f aca="true" t="shared" si="12" ref="BI9:BI33">ROUND(BH9*BI$6,0)</f>
        <v>107378</v>
      </c>
      <c r="BJ9" s="983"/>
    </row>
    <row r="10" spans="1:62" s="638" customFormat="1" ht="11.25" customHeight="1">
      <c r="A10" s="681">
        <v>13000</v>
      </c>
      <c r="B10" s="682" t="s">
        <v>123</v>
      </c>
      <c r="C10" s="683"/>
      <c r="D10" s="684">
        <f t="shared" si="2"/>
        <v>0.008770508699537709</v>
      </c>
      <c r="E10" s="685"/>
      <c r="F10" s="684">
        <f t="shared" si="3"/>
        <v>0.055334337911671826</v>
      </c>
      <c r="G10" s="686"/>
      <c r="H10" s="684">
        <f t="shared" si="4"/>
        <v>0.0076396559978612845</v>
      </c>
      <c r="I10" s="651"/>
      <c r="J10" s="651">
        <f t="shared" si="5"/>
        <v>0.012715927798590796</v>
      </c>
      <c r="K10" s="687"/>
      <c r="L10" s="688">
        <f t="shared" si="0"/>
        <v>0.011092554279723565</v>
      </c>
      <c r="M10" s="651"/>
      <c r="N10" s="689"/>
      <c r="O10" s="690"/>
      <c r="P10" s="690"/>
      <c r="Q10" s="691">
        <f t="shared" si="6"/>
        <v>0.022701653033908642</v>
      </c>
      <c r="R10" s="687"/>
      <c r="S10" s="692"/>
      <c r="T10" s="693"/>
      <c r="U10" s="692"/>
      <c r="V10" s="693"/>
      <c r="W10" s="651"/>
      <c r="X10" s="698"/>
      <c r="Y10" s="688">
        <f t="shared" si="7"/>
        <v>0.02721017744389692</v>
      </c>
      <c r="AA10" s="695"/>
      <c r="AB10" s="692"/>
      <c r="AC10" s="693"/>
      <c r="AD10" s="692"/>
      <c r="AE10" s="693"/>
      <c r="AF10" s="651"/>
      <c r="AG10" s="698"/>
      <c r="AH10" s="651">
        <f t="shared" si="8"/>
        <v>0.007553334441527811</v>
      </c>
      <c r="AI10" s="687"/>
      <c r="AJ10" s="692"/>
      <c r="AK10" s="693"/>
      <c r="AL10" s="692"/>
      <c r="AM10" s="693"/>
      <c r="AN10" s="651"/>
      <c r="AO10" s="698"/>
      <c r="AP10" s="651">
        <f t="shared" si="9"/>
        <v>0.0015857769935242005</v>
      </c>
      <c r="AQ10" s="687"/>
      <c r="AR10" s="692"/>
      <c r="AS10" s="693"/>
      <c r="AT10" s="692"/>
      <c r="AU10" s="693"/>
      <c r="AV10" s="651"/>
      <c r="AW10" s="694"/>
      <c r="AX10" s="651">
        <f t="shared" si="10"/>
        <v>0.032029355005453224</v>
      </c>
      <c r="AY10" s="687"/>
      <c r="AZ10" s="692"/>
      <c r="BA10" s="693"/>
      <c r="BB10" s="692"/>
      <c r="BC10" s="693"/>
      <c r="BD10" s="651"/>
      <c r="BE10" s="694"/>
      <c r="BF10" s="688">
        <f t="shared" si="11"/>
        <v>0.010506648511266366</v>
      </c>
      <c r="BH10" s="696">
        <f t="shared" si="1"/>
        <v>0.01862367194657095</v>
      </c>
      <c r="BI10" s="697">
        <f t="shared" si="12"/>
        <v>67016</v>
      </c>
      <c r="BJ10" s="983"/>
    </row>
    <row r="11" spans="1:62" s="638" customFormat="1" ht="11.25" customHeight="1">
      <c r="A11" s="681">
        <v>14000</v>
      </c>
      <c r="B11" s="682" t="s">
        <v>106</v>
      </c>
      <c r="C11" s="683"/>
      <c r="D11" s="684">
        <f t="shared" si="2"/>
        <v>0.10724610678075565</v>
      </c>
      <c r="E11" s="685"/>
      <c r="F11" s="684">
        <f t="shared" si="3"/>
        <v>0</v>
      </c>
      <c r="G11" s="686"/>
      <c r="H11" s="684">
        <f t="shared" si="4"/>
        <v>0.11661688540924572</v>
      </c>
      <c r="I11" s="651"/>
      <c r="J11" s="651">
        <f t="shared" si="5"/>
        <v>0.16540184205699307</v>
      </c>
      <c r="K11" s="687"/>
      <c r="L11" s="688">
        <f t="shared" si="0"/>
        <v>0.09633684366230719</v>
      </c>
      <c r="M11" s="651"/>
      <c r="N11" s="689"/>
      <c r="O11" s="690"/>
      <c r="P11" s="690"/>
      <c r="Q11" s="691">
        <f t="shared" si="6"/>
        <v>0.08921335091450554</v>
      </c>
      <c r="R11" s="687"/>
      <c r="S11" s="692"/>
      <c r="T11" s="693"/>
      <c r="U11" s="692"/>
      <c r="V11" s="693"/>
      <c r="W11" s="651"/>
      <c r="X11" s="698"/>
      <c r="Y11" s="688">
        <f t="shared" si="7"/>
        <v>0.10377340327191299</v>
      </c>
      <c r="AA11" s="695"/>
      <c r="AB11" s="692"/>
      <c r="AC11" s="693"/>
      <c r="AD11" s="692"/>
      <c r="AE11" s="693"/>
      <c r="AF11" s="651"/>
      <c r="AG11" s="698"/>
      <c r="AH11" s="651">
        <f t="shared" si="8"/>
        <v>0.2184833412451624</v>
      </c>
      <c r="AI11" s="687"/>
      <c r="AJ11" s="692"/>
      <c r="AK11" s="693"/>
      <c r="AL11" s="692"/>
      <c r="AM11" s="693"/>
      <c r="AN11" s="651"/>
      <c r="AO11" s="698"/>
      <c r="AP11" s="651">
        <f t="shared" si="9"/>
        <v>0.1323003213441875</v>
      </c>
      <c r="AQ11" s="687"/>
      <c r="AR11" s="692"/>
      <c r="AS11" s="693"/>
      <c r="AT11" s="692"/>
      <c r="AU11" s="693"/>
      <c r="AV11" s="651"/>
      <c r="AW11" s="694"/>
      <c r="AX11" s="651">
        <f t="shared" si="10"/>
        <v>0.1927089925385354</v>
      </c>
      <c r="AY11" s="687"/>
      <c r="AZ11" s="692"/>
      <c r="BA11" s="693"/>
      <c r="BB11" s="692"/>
      <c r="BC11" s="693"/>
      <c r="BD11" s="651"/>
      <c r="BE11" s="694"/>
      <c r="BF11" s="688">
        <f t="shared" si="11"/>
        <v>0.16863502462286864</v>
      </c>
      <c r="BH11" s="696">
        <f t="shared" si="1"/>
        <v>0.1256209661562783</v>
      </c>
      <c r="BI11" s="697">
        <f t="shared" si="12"/>
        <v>452038</v>
      </c>
      <c r="BJ11" s="983"/>
    </row>
    <row r="12" spans="1:62" s="638" customFormat="1" ht="11.25" customHeight="1">
      <c r="A12" s="681">
        <v>15000</v>
      </c>
      <c r="B12" s="682" t="s">
        <v>124</v>
      </c>
      <c r="C12" s="683"/>
      <c r="D12" s="684">
        <f t="shared" si="2"/>
        <v>0.07819225402185515</v>
      </c>
      <c r="E12" s="685"/>
      <c r="F12" s="684">
        <f t="shared" si="3"/>
        <v>0.0029501287560583928</v>
      </c>
      <c r="G12" s="686"/>
      <c r="H12" s="684">
        <f t="shared" si="4"/>
        <v>0.062265595680246935</v>
      </c>
      <c r="I12" s="651"/>
      <c r="J12" s="651">
        <f t="shared" si="5"/>
        <v>0.009357028621670194</v>
      </c>
      <c r="K12" s="687"/>
      <c r="L12" s="688">
        <f t="shared" si="0"/>
        <v>0.05766934907392558</v>
      </c>
      <c r="M12" s="651"/>
      <c r="N12" s="689"/>
      <c r="O12" s="690"/>
      <c r="P12" s="690"/>
      <c r="Q12" s="691">
        <f t="shared" si="6"/>
        <v>0.053961344870921725</v>
      </c>
      <c r="R12" s="687"/>
      <c r="S12" s="692"/>
      <c r="T12" s="693"/>
      <c r="U12" s="692"/>
      <c r="V12" s="693"/>
      <c r="W12" s="651"/>
      <c r="X12" s="698"/>
      <c r="Y12" s="688">
        <f t="shared" si="7"/>
        <v>0.0641921786902712</v>
      </c>
      <c r="AA12" s="695"/>
      <c r="AB12" s="692"/>
      <c r="AC12" s="693"/>
      <c r="AD12" s="692"/>
      <c r="AE12" s="693"/>
      <c r="AF12" s="651"/>
      <c r="AG12" s="698"/>
      <c r="AH12" s="651">
        <f t="shared" si="8"/>
        <v>0.03982996255136821</v>
      </c>
      <c r="AI12" s="687"/>
      <c r="AJ12" s="692"/>
      <c r="AK12" s="693"/>
      <c r="AL12" s="692"/>
      <c r="AM12" s="693"/>
      <c r="AN12" s="651"/>
      <c r="AO12" s="698"/>
      <c r="AP12" s="651">
        <f t="shared" si="9"/>
        <v>0.07115331753950513</v>
      </c>
      <c r="AQ12" s="687"/>
      <c r="AR12" s="692"/>
      <c r="AS12" s="693"/>
      <c r="AT12" s="692"/>
      <c r="AU12" s="693"/>
      <c r="AV12" s="651"/>
      <c r="AW12" s="694"/>
      <c r="AX12" s="651">
        <f t="shared" si="10"/>
        <v>0.07212923572508234</v>
      </c>
      <c r="AY12" s="687"/>
      <c r="AZ12" s="692"/>
      <c r="BA12" s="693"/>
      <c r="BB12" s="692"/>
      <c r="BC12" s="693"/>
      <c r="BD12" s="651"/>
      <c r="BE12" s="694"/>
      <c r="BF12" s="688">
        <f t="shared" si="11"/>
        <v>0.037499203336838524</v>
      </c>
      <c r="BH12" s="696">
        <f t="shared" si="1"/>
        <v>0.061065939546841225</v>
      </c>
      <c r="BI12" s="697">
        <f t="shared" si="12"/>
        <v>219741</v>
      </c>
      <c r="BJ12" s="983"/>
    </row>
    <row r="13" spans="1:62" s="638" customFormat="1" ht="11.25" customHeight="1">
      <c r="A13" s="681">
        <v>16000</v>
      </c>
      <c r="B13" s="682" t="s">
        <v>40</v>
      </c>
      <c r="C13" s="683"/>
      <c r="D13" s="684">
        <f t="shared" si="2"/>
        <v>0.009863182354646212</v>
      </c>
      <c r="E13" s="685"/>
      <c r="F13" s="684">
        <f t="shared" si="3"/>
        <v>0</v>
      </c>
      <c r="G13" s="686"/>
      <c r="H13" s="684">
        <f t="shared" si="4"/>
        <v>0.007245622181329139</v>
      </c>
      <c r="I13" s="651"/>
      <c r="J13" s="651">
        <f t="shared" si="5"/>
        <v>0</v>
      </c>
      <c r="K13" s="687"/>
      <c r="L13" s="688">
        <f t="shared" si="0"/>
        <v>0.01682671580221933</v>
      </c>
      <c r="M13" s="651"/>
      <c r="N13" s="689"/>
      <c r="O13" s="690"/>
      <c r="P13" s="690"/>
      <c r="Q13" s="691">
        <f t="shared" si="6"/>
        <v>0.014684006023559187</v>
      </c>
      <c r="R13" s="687"/>
      <c r="S13" s="692"/>
      <c r="T13" s="693"/>
      <c r="U13" s="692"/>
      <c r="V13" s="693"/>
      <c r="W13" s="651"/>
      <c r="X13" s="698"/>
      <c r="Y13" s="688">
        <f t="shared" si="7"/>
        <v>0.018971064095566224</v>
      </c>
      <c r="AA13" s="695"/>
      <c r="AB13" s="692"/>
      <c r="AC13" s="693"/>
      <c r="AD13" s="692"/>
      <c r="AE13" s="693"/>
      <c r="AF13" s="651"/>
      <c r="AG13" s="698"/>
      <c r="AH13" s="651">
        <f t="shared" si="8"/>
        <v>0.014610303973717476</v>
      </c>
      <c r="AI13" s="687"/>
      <c r="AJ13" s="692"/>
      <c r="AK13" s="693"/>
      <c r="AL13" s="692"/>
      <c r="AM13" s="693"/>
      <c r="AN13" s="651"/>
      <c r="AO13" s="698"/>
      <c r="AP13" s="651">
        <f t="shared" si="9"/>
        <v>0.060634720871668255</v>
      </c>
      <c r="AQ13" s="687"/>
      <c r="AR13" s="692"/>
      <c r="AS13" s="693"/>
      <c r="AT13" s="692"/>
      <c r="AU13" s="693"/>
      <c r="AV13" s="651"/>
      <c r="AW13" s="694"/>
      <c r="AX13" s="651">
        <f t="shared" si="10"/>
        <v>0.005042242902284362</v>
      </c>
      <c r="AY13" s="687"/>
      <c r="AZ13" s="692"/>
      <c r="BA13" s="693"/>
      <c r="BB13" s="692"/>
      <c r="BC13" s="693"/>
      <c r="BD13" s="651"/>
      <c r="BE13" s="694"/>
      <c r="BF13" s="688">
        <f t="shared" si="11"/>
        <v>0.008196160216125344</v>
      </c>
      <c r="BH13" s="696">
        <f t="shared" si="1"/>
        <v>0.013218490231416307</v>
      </c>
      <c r="BI13" s="697">
        <f t="shared" si="12"/>
        <v>47566</v>
      </c>
      <c r="BJ13" s="983"/>
    </row>
    <row r="14" spans="1:62" s="638" customFormat="1" ht="11.25" customHeight="1">
      <c r="A14" s="681">
        <v>17000</v>
      </c>
      <c r="B14" s="682" t="s">
        <v>125</v>
      </c>
      <c r="C14" s="683"/>
      <c r="D14" s="684">
        <f t="shared" si="2"/>
        <v>0.014661874487494505</v>
      </c>
      <c r="E14" s="685"/>
      <c r="F14" s="684">
        <f t="shared" si="3"/>
        <v>0.06690342560108434</v>
      </c>
      <c r="G14" s="686"/>
      <c r="H14" s="684">
        <f t="shared" si="4"/>
        <v>0.008742334829734254</v>
      </c>
      <c r="I14" s="651"/>
      <c r="J14" s="651">
        <f t="shared" si="5"/>
        <v>0.004197164670391036</v>
      </c>
      <c r="K14" s="687"/>
      <c r="L14" s="688">
        <f t="shared" si="0"/>
        <v>0.0121244816251982</v>
      </c>
      <c r="M14" s="651"/>
      <c r="N14" s="689"/>
      <c r="O14" s="690"/>
      <c r="P14" s="690"/>
      <c r="Q14" s="691">
        <f t="shared" si="6"/>
        <v>0.02304934961520868</v>
      </c>
      <c r="R14" s="687"/>
      <c r="S14" s="692"/>
      <c r="T14" s="693"/>
      <c r="U14" s="692"/>
      <c r="V14" s="693"/>
      <c r="W14" s="651"/>
      <c r="X14" s="698"/>
      <c r="Y14" s="688">
        <f t="shared" si="7"/>
        <v>0.03404236410684871</v>
      </c>
      <c r="AA14" s="695"/>
      <c r="AB14" s="692"/>
      <c r="AC14" s="693"/>
      <c r="AD14" s="692"/>
      <c r="AE14" s="693"/>
      <c r="AF14" s="651"/>
      <c r="AG14" s="698"/>
      <c r="AH14" s="651">
        <f t="shared" si="8"/>
        <v>0.012627056952323159</v>
      </c>
      <c r="AI14" s="687"/>
      <c r="AJ14" s="692"/>
      <c r="AK14" s="693"/>
      <c r="AL14" s="692"/>
      <c r="AM14" s="693"/>
      <c r="AN14" s="651"/>
      <c r="AO14" s="698"/>
      <c r="AP14" s="651">
        <f t="shared" si="9"/>
        <v>0.024603073728262412</v>
      </c>
      <c r="AQ14" s="687"/>
      <c r="AR14" s="692"/>
      <c r="AS14" s="693"/>
      <c r="AT14" s="692"/>
      <c r="AU14" s="693"/>
      <c r="AV14" s="651"/>
      <c r="AW14" s="694"/>
      <c r="AX14" s="651">
        <f t="shared" si="10"/>
        <v>0.02977054874919861</v>
      </c>
      <c r="AY14" s="687"/>
      <c r="AZ14" s="692"/>
      <c r="BA14" s="693"/>
      <c r="BB14" s="692"/>
      <c r="BC14" s="693"/>
      <c r="BD14" s="651"/>
      <c r="BE14" s="694"/>
      <c r="BF14" s="688">
        <f t="shared" si="11"/>
        <v>0.01869375153053917</v>
      </c>
      <c r="BH14" s="696">
        <f t="shared" si="1"/>
        <v>0.02366226849409904</v>
      </c>
      <c r="BI14" s="697">
        <f t="shared" si="12"/>
        <v>85147</v>
      </c>
      <c r="BJ14" s="983"/>
    </row>
    <row r="15" spans="1:62" s="638" customFormat="1" ht="11.25" customHeight="1">
      <c r="A15" s="681">
        <v>18000</v>
      </c>
      <c r="B15" s="682" t="s">
        <v>126</v>
      </c>
      <c r="C15" s="683"/>
      <c r="D15" s="684">
        <f t="shared" si="2"/>
        <v>0.0073543069726385935</v>
      </c>
      <c r="E15" s="685"/>
      <c r="F15" s="684">
        <f t="shared" si="3"/>
        <v>0</v>
      </c>
      <c r="G15" s="686"/>
      <c r="H15" s="684">
        <f t="shared" si="4"/>
        <v>0.003096765792467493</v>
      </c>
      <c r="I15" s="651"/>
      <c r="J15" s="651">
        <f t="shared" si="5"/>
        <v>0.0018349574309219371</v>
      </c>
      <c r="K15" s="687"/>
      <c r="L15" s="688">
        <f t="shared" si="0"/>
        <v>0.009074179649724132</v>
      </c>
      <c r="M15" s="651"/>
      <c r="N15" s="689"/>
      <c r="O15" s="690"/>
      <c r="P15" s="690"/>
      <c r="Q15" s="691">
        <f t="shared" si="6"/>
        <v>0.01865996996865294</v>
      </c>
      <c r="R15" s="687"/>
      <c r="S15" s="692"/>
      <c r="T15" s="693"/>
      <c r="U15" s="692"/>
      <c r="V15" s="693"/>
      <c r="W15" s="651"/>
      <c r="X15" s="698"/>
      <c r="Y15" s="688">
        <f t="shared" si="7"/>
        <v>0.024968541687410334</v>
      </c>
      <c r="AA15" s="695"/>
      <c r="AB15" s="692"/>
      <c r="AC15" s="693"/>
      <c r="AD15" s="692"/>
      <c r="AE15" s="693"/>
      <c r="AF15" s="651"/>
      <c r="AG15" s="698"/>
      <c r="AH15" s="651">
        <f t="shared" si="8"/>
        <v>0.0037482709849468803</v>
      </c>
      <c r="AI15" s="687"/>
      <c r="AJ15" s="692"/>
      <c r="AK15" s="693"/>
      <c r="AL15" s="692"/>
      <c r="AM15" s="693"/>
      <c r="AN15" s="651"/>
      <c r="AO15" s="698"/>
      <c r="AP15" s="651">
        <f t="shared" si="9"/>
        <v>0.0027445278764264814</v>
      </c>
      <c r="AQ15" s="687"/>
      <c r="AR15" s="692"/>
      <c r="AS15" s="693"/>
      <c r="AT15" s="692"/>
      <c r="AU15" s="693"/>
      <c r="AV15" s="651"/>
      <c r="AW15" s="694"/>
      <c r="AX15" s="651">
        <f t="shared" si="10"/>
        <v>0.021781401295720315</v>
      </c>
      <c r="AY15" s="687"/>
      <c r="AZ15" s="692"/>
      <c r="BA15" s="693"/>
      <c r="BB15" s="692"/>
      <c r="BC15" s="693"/>
      <c r="BD15" s="651"/>
      <c r="BE15" s="694"/>
      <c r="BF15" s="688">
        <f t="shared" si="11"/>
        <v>0.011033528155315423</v>
      </c>
      <c r="BH15" s="696">
        <f t="shared" si="1"/>
        <v>0.014499072282647909</v>
      </c>
      <c r="BI15" s="697">
        <f t="shared" si="12"/>
        <v>52174</v>
      </c>
      <c r="BJ15" s="983"/>
    </row>
    <row r="16" spans="1:62" s="638" customFormat="1" ht="11.25" customHeight="1">
      <c r="A16" s="681">
        <v>19000</v>
      </c>
      <c r="B16" s="682" t="s">
        <v>127</v>
      </c>
      <c r="C16" s="683"/>
      <c r="D16" s="684">
        <f t="shared" si="2"/>
        <v>0.007640294846778561</v>
      </c>
      <c r="E16" s="685"/>
      <c r="F16" s="684">
        <f t="shared" si="3"/>
        <v>0.025448719369804928</v>
      </c>
      <c r="G16" s="686"/>
      <c r="H16" s="684">
        <f t="shared" si="4"/>
        <v>0.003599792663880183</v>
      </c>
      <c r="I16" s="651"/>
      <c r="J16" s="651">
        <f t="shared" si="5"/>
        <v>0.0005374694768991825</v>
      </c>
      <c r="K16" s="687"/>
      <c r="L16" s="688">
        <f t="shared" si="0"/>
        <v>0.010228424427134895</v>
      </c>
      <c r="M16" s="651"/>
      <c r="N16" s="689"/>
      <c r="O16" s="690"/>
      <c r="P16" s="690"/>
      <c r="Q16" s="691">
        <f t="shared" si="6"/>
        <v>0.011260342986817556</v>
      </c>
      <c r="R16" s="687"/>
      <c r="S16" s="692"/>
      <c r="T16" s="693"/>
      <c r="U16" s="692"/>
      <c r="V16" s="693"/>
      <c r="W16" s="651"/>
      <c r="X16" s="698"/>
      <c r="Y16" s="688">
        <f t="shared" si="7"/>
        <v>0.021051643273326436</v>
      </c>
      <c r="AA16" s="695"/>
      <c r="AB16" s="692"/>
      <c r="AC16" s="693"/>
      <c r="AD16" s="692"/>
      <c r="AE16" s="693"/>
      <c r="AF16" s="651"/>
      <c r="AG16" s="698"/>
      <c r="AH16" s="651">
        <f t="shared" si="8"/>
        <v>0.018359611048919238</v>
      </c>
      <c r="AI16" s="687"/>
      <c r="AJ16" s="692"/>
      <c r="AK16" s="693"/>
      <c r="AL16" s="692"/>
      <c r="AM16" s="693"/>
      <c r="AN16" s="651"/>
      <c r="AO16" s="698"/>
      <c r="AP16" s="651">
        <f t="shared" si="9"/>
        <v>0</v>
      </c>
      <c r="AQ16" s="687"/>
      <c r="AR16" s="692"/>
      <c r="AS16" s="693"/>
      <c r="AT16" s="692"/>
      <c r="AU16" s="693"/>
      <c r="AV16" s="651"/>
      <c r="AW16" s="694"/>
      <c r="AX16" s="651">
        <f t="shared" si="10"/>
        <v>0.013646452970649434</v>
      </c>
      <c r="AY16" s="687"/>
      <c r="AZ16" s="692"/>
      <c r="BA16" s="693"/>
      <c r="BB16" s="692"/>
      <c r="BC16" s="693"/>
      <c r="BD16" s="651"/>
      <c r="BE16" s="694"/>
      <c r="BF16" s="688">
        <f t="shared" si="11"/>
        <v>0.003428066988611886</v>
      </c>
      <c r="BH16" s="696">
        <f t="shared" si="1"/>
        <v>0.012144293157831878</v>
      </c>
      <c r="BI16" s="697">
        <f t="shared" si="12"/>
        <v>43700</v>
      </c>
      <c r="BJ16" s="983"/>
    </row>
    <row r="17" spans="1:62" s="638" customFormat="1" ht="11.25" customHeight="1">
      <c r="A17" s="681">
        <v>21000</v>
      </c>
      <c r="B17" s="682" t="s">
        <v>128</v>
      </c>
      <c r="C17" s="683"/>
      <c r="D17" s="684">
        <f t="shared" si="2"/>
        <v>0.12075348565342761</v>
      </c>
      <c r="E17" s="685"/>
      <c r="F17" s="684">
        <f t="shared" si="3"/>
        <v>0.03366532209526062</v>
      </c>
      <c r="G17" s="686"/>
      <c r="H17" s="684">
        <f t="shared" si="4"/>
        <v>0.15525011817457568</v>
      </c>
      <c r="I17" s="651"/>
      <c r="J17" s="651">
        <f t="shared" si="5"/>
        <v>0.20483844128384995</v>
      </c>
      <c r="K17" s="687"/>
      <c r="L17" s="688">
        <f t="shared" si="0"/>
        <v>0.1189516033166755</v>
      </c>
      <c r="M17" s="651"/>
      <c r="N17" s="689"/>
      <c r="O17" s="690"/>
      <c r="P17" s="690"/>
      <c r="Q17" s="691">
        <f t="shared" si="6"/>
        <v>0.09188648737964168</v>
      </c>
      <c r="R17" s="687"/>
      <c r="S17" s="692"/>
      <c r="T17" s="693"/>
      <c r="U17" s="692"/>
      <c r="V17" s="693"/>
      <c r="W17" s="651"/>
      <c r="X17" s="698"/>
      <c r="Y17" s="688">
        <f t="shared" si="7"/>
        <v>0.07110273785241664</v>
      </c>
      <c r="AA17" s="695"/>
      <c r="AB17" s="692"/>
      <c r="AC17" s="693"/>
      <c r="AD17" s="692"/>
      <c r="AE17" s="693"/>
      <c r="AF17" s="651"/>
      <c r="AG17" s="698"/>
      <c r="AH17" s="651">
        <f t="shared" si="8"/>
        <v>0.07572092185542714</v>
      </c>
      <c r="AI17" s="687"/>
      <c r="AJ17" s="692"/>
      <c r="AK17" s="693"/>
      <c r="AL17" s="692"/>
      <c r="AM17" s="693"/>
      <c r="AN17" s="651"/>
      <c r="AO17" s="698"/>
      <c r="AP17" s="651">
        <f t="shared" si="9"/>
        <v>0.03865228145960705</v>
      </c>
      <c r="AQ17" s="687"/>
      <c r="AR17" s="692"/>
      <c r="AS17" s="693"/>
      <c r="AT17" s="692"/>
      <c r="AU17" s="693"/>
      <c r="AV17" s="651"/>
      <c r="AW17" s="694"/>
      <c r="AX17" s="651">
        <f t="shared" si="10"/>
        <v>0.05735682326047076</v>
      </c>
      <c r="AY17" s="687"/>
      <c r="AZ17" s="692"/>
      <c r="BA17" s="693"/>
      <c r="BB17" s="692"/>
      <c r="BC17" s="693"/>
      <c r="BD17" s="651"/>
      <c r="BE17" s="694"/>
      <c r="BF17" s="688">
        <f t="shared" si="11"/>
        <v>0.1018566733158898</v>
      </c>
      <c r="BH17" s="696">
        <f t="shared" si="1"/>
        <v>0.09531526378538902</v>
      </c>
      <c r="BI17" s="697">
        <f t="shared" si="12"/>
        <v>342985</v>
      </c>
      <c r="BJ17" s="983"/>
    </row>
    <row r="18" spans="1:62" s="638" customFormat="1" ht="11.25" customHeight="1">
      <c r="A18" s="681">
        <v>22000</v>
      </c>
      <c r="B18" s="682" t="s">
        <v>46</v>
      </c>
      <c r="C18" s="683"/>
      <c r="D18" s="684">
        <f t="shared" si="2"/>
        <v>0.04433179630057943</v>
      </c>
      <c r="E18" s="685"/>
      <c r="F18" s="684">
        <f t="shared" si="3"/>
        <v>0</v>
      </c>
      <c r="G18" s="686"/>
      <c r="H18" s="684">
        <f t="shared" si="4"/>
        <v>0.04463980892185655</v>
      </c>
      <c r="I18" s="651"/>
      <c r="J18" s="651">
        <f t="shared" si="5"/>
        <v>0.06109769638906789</v>
      </c>
      <c r="K18" s="687"/>
      <c r="L18" s="688">
        <f t="shared" si="0"/>
        <v>0.028420024348767947</v>
      </c>
      <c r="M18" s="651"/>
      <c r="N18" s="689"/>
      <c r="O18" s="690"/>
      <c r="P18" s="690"/>
      <c r="Q18" s="691">
        <f t="shared" si="6"/>
        <v>0.03280641693572814</v>
      </c>
      <c r="R18" s="687"/>
      <c r="S18" s="692"/>
      <c r="T18" s="693"/>
      <c r="U18" s="692"/>
      <c r="V18" s="693"/>
      <c r="W18" s="651"/>
      <c r="X18" s="698"/>
      <c r="Y18" s="688">
        <f t="shared" si="7"/>
        <v>0.01668845126435624</v>
      </c>
      <c r="AA18" s="695"/>
      <c r="AB18" s="692"/>
      <c r="AC18" s="693"/>
      <c r="AD18" s="692"/>
      <c r="AE18" s="693"/>
      <c r="AF18" s="651"/>
      <c r="AG18" s="698"/>
      <c r="AH18" s="651">
        <f t="shared" si="8"/>
        <v>0.019457041089024595</v>
      </c>
      <c r="AI18" s="687"/>
      <c r="AJ18" s="692"/>
      <c r="AK18" s="693"/>
      <c r="AL18" s="692"/>
      <c r="AM18" s="693"/>
      <c r="AN18" s="651"/>
      <c r="AO18" s="698"/>
      <c r="AP18" s="651">
        <f t="shared" si="9"/>
        <v>0.013200058495881944</v>
      </c>
      <c r="AQ18" s="687"/>
      <c r="AR18" s="692"/>
      <c r="AS18" s="693"/>
      <c r="AT18" s="692"/>
      <c r="AU18" s="693"/>
      <c r="AV18" s="651"/>
      <c r="AW18" s="694"/>
      <c r="AX18" s="651">
        <f t="shared" si="10"/>
        <v>0.007608434924918292</v>
      </c>
      <c r="AY18" s="687"/>
      <c r="AZ18" s="692"/>
      <c r="BA18" s="693"/>
      <c r="BB18" s="692"/>
      <c r="BC18" s="693"/>
      <c r="BD18" s="651"/>
      <c r="BE18" s="694"/>
      <c r="BF18" s="688">
        <f t="shared" si="11"/>
        <v>0.01576726288857814</v>
      </c>
      <c r="BH18" s="696">
        <f t="shared" si="1"/>
        <v>0.026125848935172894</v>
      </c>
      <c r="BI18" s="697">
        <f t="shared" si="12"/>
        <v>94012</v>
      </c>
      <c r="BJ18" s="983"/>
    </row>
    <row r="19" spans="1:62" s="638" customFormat="1" ht="11.25" customHeight="1">
      <c r="A19" s="681">
        <v>23000</v>
      </c>
      <c r="B19" s="682" t="s">
        <v>129</v>
      </c>
      <c r="C19" s="683"/>
      <c r="D19" s="684">
        <f t="shared" si="2"/>
        <v>0.03681698942793698</v>
      </c>
      <c r="E19" s="685"/>
      <c r="F19" s="684">
        <f t="shared" si="3"/>
        <v>0.0696411881815012</v>
      </c>
      <c r="G19" s="686"/>
      <c r="H19" s="684">
        <f t="shared" si="4"/>
        <v>0.04199367095121907</v>
      </c>
      <c r="I19" s="651"/>
      <c r="J19" s="651">
        <f t="shared" si="5"/>
        <v>0.014111984107923968</v>
      </c>
      <c r="K19" s="687"/>
      <c r="L19" s="688">
        <f t="shared" si="0"/>
        <v>0.02599694823987402</v>
      </c>
      <c r="M19" s="651"/>
      <c r="N19" s="689"/>
      <c r="O19" s="690"/>
      <c r="P19" s="690"/>
      <c r="Q19" s="691">
        <f t="shared" si="6"/>
        <v>0.03439870823817072</v>
      </c>
      <c r="R19" s="687"/>
      <c r="S19" s="692"/>
      <c r="T19" s="693"/>
      <c r="U19" s="692"/>
      <c r="V19" s="693"/>
      <c r="W19" s="651"/>
      <c r="X19" s="698"/>
      <c r="Y19" s="688">
        <f t="shared" si="7"/>
        <v>0.042670787256549346</v>
      </c>
      <c r="AA19" s="695"/>
      <c r="AB19" s="692"/>
      <c r="AC19" s="693"/>
      <c r="AD19" s="692"/>
      <c r="AE19" s="693"/>
      <c r="AF19" s="651"/>
      <c r="AG19" s="698"/>
      <c r="AH19" s="651">
        <f t="shared" si="8"/>
        <v>0.013400104811738322</v>
      </c>
      <c r="AI19" s="687"/>
      <c r="AJ19" s="692"/>
      <c r="AK19" s="693"/>
      <c r="AL19" s="692"/>
      <c r="AM19" s="693"/>
      <c r="AN19" s="651"/>
      <c r="AO19" s="698"/>
      <c r="AP19" s="651">
        <f t="shared" si="9"/>
        <v>0.0005322109620934033</v>
      </c>
      <c r="AQ19" s="687"/>
      <c r="AR19" s="692"/>
      <c r="AS19" s="693"/>
      <c r="AT19" s="692"/>
      <c r="AU19" s="693"/>
      <c r="AV19" s="651"/>
      <c r="AW19" s="694"/>
      <c r="AX19" s="651">
        <f t="shared" si="10"/>
        <v>0.04358348780208099</v>
      </c>
      <c r="AY19" s="687"/>
      <c r="AZ19" s="692"/>
      <c r="BA19" s="693"/>
      <c r="BB19" s="692"/>
      <c r="BC19" s="693"/>
      <c r="BD19" s="651"/>
      <c r="BE19" s="694"/>
      <c r="BF19" s="688">
        <f t="shared" si="11"/>
        <v>0.030847888432404325</v>
      </c>
      <c r="BH19" s="696">
        <f t="shared" si="1"/>
        <v>0.03652460469377278</v>
      </c>
      <c r="BI19" s="697">
        <f t="shared" si="12"/>
        <v>131431</v>
      </c>
      <c r="BJ19" s="983"/>
    </row>
    <row r="20" spans="1:62" s="638" customFormat="1" ht="11.25" customHeight="1">
      <c r="A20" s="681">
        <v>24000</v>
      </c>
      <c r="B20" s="682" t="s">
        <v>130</v>
      </c>
      <c r="C20" s="683"/>
      <c r="D20" s="684">
        <f t="shared" si="2"/>
        <v>0.016082593584654012</v>
      </c>
      <c r="E20" s="685"/>
      <c r="F20" s="684">
        <f t="shared" si="3"/>
        <v>0.031696221477409726</v>
      </c>
      <c r="G20" s="686"/>
      <c r="H20" s="684">
        <f t="shared" si="4"/>
        <v>0.02559577066538616</v>
      </c>
      <c r="I20" s="651"/>
      <c r="J20" s="651">
        <f t="shared" si="5"/>
        <v>0.010095902266168893</v>
      </c>
      <c r="K20" s="687"/>
      <c r="L20" s="688">
        <f t="shared" si="0"/>
        <v>0.03115980521562175</v>
      </c>
      <c r="M20" s="651"/>
      <c r="N20" s="689"/>
      <c r="O20" s="690"/>
      <c r="P20" s="690"/>
      <c r="Q20" s="691">
        <f t="shared" si="6"/>
        <v>0.024638861503750588</v>
      </c>
      <c r="R20" s="687"/>
      <c r="S20" s="692"/>
      <c r="T20" s="693"/>
      <c r="U20" s="692"/>
      <c r="V20" s="693"/>
      <c r="W20" s="651"/>
      <c r="X20" s="698"/>
      <c r="Y20" s="688">
        <f t="shared" si="7"/>
        <v>0.020623834151717323</v>
      </c>
      <c r="AA20" s="695"/>
      <c r="AB20" s="692"/>
      <c r="AC20" s="693"/>
      <c r="AD20" s="692"/>
      <c r="AE20" s="693"/>
      <c r="AF20" s="651"/>
      <c r="AG20" s="698"/>
      <c r="AH20" s="651">
        <f t="shared" si="8"/>
        <v>0.014970151266739774</v>
      </c>
      <c r="AI20" s="687"/>
      <c r="AJ20" s="692"/>
      <c r="AK20" s="693"/>
      <c r="AL20" s="692"/>
      <c r="AM20" s="693"/>
      <c r="AN20" s="651"/>
      <c r="AO20" s="698"/>
      <c r="AP20" s="651">
        <f t="shared" si="9"/>
        <v>0.0014412522739622848</v>
      </c>
      <c r="AQ20" s="687"/>
      <c r="AR20" s="692"/>
      <c r="AS20" s="693"/>
      <c r="AT20" s="692"/>
      <c r="AU20" s="693"/>
      <c r="AV20" s="651"/>
      <c r="AW20" s="694"/>
      <c r="AX20" s="651">
        <f t="shared" si="10"/>
        <v>0.024819778728712008</v>
      </c>
      <c r="AY20" s="687"/>
      <c r="AZ20" s="692"/>
      <c r="BA20" s="693"/>
      <c r="BB20" s="692"/>
      <c r="BC20" s="693"/>
      <c r="BD20" s="651"/>
      <c r="BE20" s="694"/>
      <c r="BF20" s="688">
        <f t="shared" si="11"/>
        <v>0.013141448139606635</v>
      </c>
      <c r="BH20" s="696">
        <f t="shared" si="1"/>
        <v>0.01863364085899019</v>
      </c>
      <c r="BI20" s="697">
        <f t="shared" si="12"/>
        <v>67052</v>
      </c>
      <c r="BJ20" s="983"/>
    </row>
    <row r="21" spans="1:62" s="638" customFormat="1" ht="11.25" customHeight="1">
      <c r="A21" s="681">
        <v>25000</v>
      </c>
      <c r="B21" s="682" t="s">
        <v>131</v>
      </c>
      <c r="C21" s="683"/>
      <c r="D21" s="684">
        <f t="shared" si="2"/>
        <v>0.032539464672209806</v>
      </c>
      <c r="E21" s="685"/>
      <c r="F21" s="684">
        <f t="shared" si="3"/>
        <v>0</v>
      </c>
      <c r="G21" s="686"/>
      <c r="H21" s="684">
        <f t="shared" si="4"/>
        <v>0.02073717132799045</v>
      </c>
      <c r="I21" s="651"/>
      <c r="J21" s="651">
        <f t="shared" si="5"/>
        <v>0.01855751810374492</v>
      </c>
      <c r="K21" s="687"/>
      <c r="L21" s="688">
        <f t="shared" si="0"/>
        <v>0.014818012972470235</v>
      </c>
      <c r="M21" s="651"/>
      <c r="N21" s="689"/>
      <c r="O21" s="690"/>
      <c r="P21" s="690"/>
      <c r="Q21" s="691">
        <f t="shared" si="6"/>
        <v>0.026965295478945727</v>
      </c>
      <c r="R21" s="687"/>
      <c r="S21" s="692"/>
      <c r="T21" s="693"/>
      <c r="U21" s="692"/>
      <c r="V21" s="693"/>
      <c r="W21" s="651"/>
      <c r="X21" s="698"/>
      <c r="Y21" s="688">
        <f t="shared" si="7"/>
        <v>0.02941612379045235</v>
      </c>
      <c r="AA21" s="695"/>
      <c r="AB21" s="692"/>
      <c r="AC21" s="693"/>
      <c r="AD21" s="692"/>
      <c r="AE21" s="693"/>
      <c r="AF21" s="651"/>
      <c r="AG21" s="698"/>
      <c r="AH21" s="651">
        <f t="shared" si="8"/>
        <v>0.007203949684064623</v>
      </c>
      <c r="AI21" s="687"/>
      <c r="AJ21" s="692"/>
      <c r="AK21" s="693"/>
      <c r="AL21" s="692"/>
      <c r="AM21" s="693"/>
      <c r="AN21" s="651"/>
      <c r="AO21" s="698"/>
      <c r="AP21" s="651">
        <f t="shared" si="9"/>
        <v>0.00268953878580144</v>
      </c>
      <c r="AQ21" s="687"/>
      <c r="AR21" s="692"/>
      <c r="AS21" s="693"/>
      <c r="AT21" s="692"/>
      <c r="AU21" s="693"/>
      <c r="AV21" s="651"/>
      <c r="AW21" s="694"/>
      <c r="AX21" s="651">
        <f t="shared" si="10"/>
        <v>0.017069271534955528</v>
      </c>
      <c r="AY21" s="687"/>
      <c r="AZ21" s="692"/>
      <c r="BA21" s="693"/>
      <c r="BB21" s="692"/>
      <c r="BC21" s="693"/>
      <c r="BD21" s="651"/>
      <c r="BE21" s="694"/>
      <c r="BF21" s="688">
        <f t="shared" si="11"/>
        <v>0.015422244304483208</v>
      </c>
      <c r="BH21" s="696">
        <f t="shared" si="1"/>
        <v>0.02420608967109288</v>
      </c>
      <c r="BI21" s="697">
        <f t="shared" si="12"/>
        <v>87104</v>
      </c>
      <c r="BJ21" s="983"/>
    </row>
    <row r="22" spans="1:62" s="638" customFormat="1" ht="11.25" customHeight="1">
      <c r="A22" s="681">
        <v>26000</v>
      </c>
      <c r="B22" s="682" t="s">
        <v>132</v>
      </c>
      <c r="C22" s="683"/>
      <c r="D22" s="684">
        <f t="shared" si="2"/>
        <v>0.07603649974077759</v>
      </c>
      <c r="E22" s="685"/>
      <c r="F22" s="684">
        <f t="shared" si="3"/>
        <v>0.07364755377992109</v>
      </c>
      <c r="G22" s="686"/>
      <c r="H22" s="684">
        <f t="shared" si="4"/>
        <v>0.084842903351087</v>
      </c>
      <c r="I22" s="651"/>
      <c r="J22" s="651">
        <f t="shared" si="5"/>
        <v>0.07880480980914868</v>
      </c>
      <c r="K22" s="687"/>
      <c r="L22" s="688">
        <f t="shared" si="0"/>
        <v>0.06298282109085811</v>
      </c>
      <c r="M22" s="651"/>
      <c r="N22" s="689"/>
      <c r="O22" s="690"/>
      <c r="P22" s="690"/>
      <c r="Q22" s="691">
        <f t="shared" si="6"/>
        <v>0.06167510706931191</v>
      </c>
      <c r="R22" s="687"/>
      <c r="S22" s="692"/>
      <c r="T22" s="693"/>
      <c r="U22" s="692"/>
      <c r="V22" s="693"/>
      <c r="W22" s="651"/>
      <c r="X22" s="698"/>
      <c r="Y22" s="688">
        <f t="shared" si="7"/>
        <v>0.0666329248297048</v>
      </c>
      <c r="AA22" s="695"/>
      <c r="AB22" s="692"/>
      <c r="AC22" s="693"/>
      <c r="AD22" s="692"/>
      <c r="AE22" s="693"/>
      <c r="AF22" s="651"/>
      <c r="AG22" s="698"/>
      <c r="AH22" s="651">
        <f t="shared" si="8"/>
        <v>0.10616178024397431</v>
      </c>
      <c r="AI22" s="687"/>
      <c r="AJ22" s="692"/>
      <c r="AK22" s="693"/>
      <c r="AL22" s="692"/>
      <c r="AM22" s="693"/>
      <c r="AN22" s="651"/>
      <c r="AO22" s="698"/>
      <c r="AP22" s="651">
        <f t="shared" si="9"/>
        <v>0.004342067159996843</v>
      </c>
      <c r="AQ22" s="687"/>
      <c r="AR22" s="692"/>
      <c r="AS22" s="693"/>
      <c r="AT22" s="692"/>
      <c r="AU22" s="693"/>
      <c r="AV22" s="651"/>
      <c r="AW22" s="694"/>
      <c r="AX22" s="651">
        <f t="shared" si="10"/>
        <v>0.0729796122152041</v>
      </c>
      <c r="AY22" s="687"/>
      <c r="AZ22" s="692"/>
      <c r="BA22" s="693"/>
      <c r="BB22" s="692"/>
      <c r="BC22" s="693"/>
      <c r="BD22" s="651"/>
      <c r="BE22" s="694"/>
      <c r="BF22" s="688">
        <f t="shared" si="11"/>
        <v>0.07008808902318331</v>
      </c>
      <c r="BH22" s="696">
        <f t="shared" si="1"/>
        <v>0.07016443607471017</v>
      </c>
      <c r="BI22" s="697">
        <f t="shared" si="12"/>
        <v>252482</v>
      </c>
      <c r="BJ22" s="983"/>
    </row>
    <row r="23" spans="1:62" s="638" customFormat="1" ht="11.25" customHeight="1">
      <c r="A23" s="681">
        <v>27000</v>
      </c>
      <c r="B23" s="682" t="s">
        <v>133</v>
      </c>
      <c r="C23" s="683"/>
      <c r="D23" s="684">
        <f t="shared" si="2"/>
        <v>0.03704203739298899</v>
      </c>
      <c r="E23" s="685"/>
      <c r="F23" s="684">
        <f t="shared" si="3"/>
        <v>0</v>
      </c>
      <c r="G23" s="686"/>
      <c r="H23" s="684">
        <f t="shared" si="4"/>
        <v>0.04172047385534102</v>
      </c>
      <c r="I23" s="651"/>
      <c r="J23" s="651">
        <f t="shared" si="5"/>
        <v>0.0571254149534385</v>
      </c>
      <c r="K23" s="687"/>
      <c r="L23" s="688">
        <f t="shared" si="0"/>
        <v>0.047753523233440974</v>
      </c>
      <c r="M23" s="651"/>
      <c r="N23" s="689"/>
      <c r="O23" s="690"/>
      <c r="P23" s="690"/>
      <c r="Q23" s="691">
        <f t="shared" si="6"/>
        <v>0.05315241623523581</v>
      </c>
      <c r="R23" s="687"/>
      <c r="S23" s="692"/>
      <c r="T23" s="693"/>
      <c r="U23" s="692"/>
      <c r="V23" s="693"/>
      <c r="W23" s="651"/>
      <c r="X23" s="698"/>
      <c r="Y23" s="688">
        <f t="shared" si="7"/>
        <v>0.056406676545963035</v>
      </c>
      <c r="AA23" s="695"/>
      <c r="AB23" s="692"/>
      <c r="AC23" s="693"/>
      <c r="AD23" s="692"/>
      <c r="AE23" s="693"/>
      <c r="AF23" s="651"/>
      <c r="AG23" s="698"/>
      <c r="AH23" s="651">
        <f t="shared" si="8"/>
        <v>0.039169199196381774</v>
      </c>
      <c r="AI23" s="687"/>
      <c r="AJ23" s="692"/>
      <c r="AK23" s="693"/>
      <c r="AL23" s="692"/>
      <c r="AM23" s="693"/>
      <c r="AN23" s="651"/>
      <c r="AO23" s="698"/>
      <c r="AP23" s="651">
        <f t="shared" si="9"/>
        <v>0.010362058145156791</v>
      </c>
      <c r="AQ23" s="687"/>
      <c r="AR23" s="692"/>
      <c r="AS23" s="693"/>
      <c r="AT23" s="692"/>
      <c r="AU23" s="693"/>
      <c r="AV23" s="651"/>
      <c r="AW23" s="694"/>
      <c r="AX23" s="651">
        <f t="shared" si="10"/>
        <v>0.031224445654506827</v>
      </c>
      <c r="AY23" s="687"/>
      <c r="AZ23" s="692"/>
      <c r="BA23" s="693"/>
      <c r="BB23" s="692"/>
      <c r="BC23" s="693"/>
      <c r="BD23" s="651"/>
      <c r="BE23" s="694"/>
      <c r="BF23" s="688">
        <f t="shared" si="11"/>
        <v>0.04241364598380389</v>
      </c>
      <c r="BH23" s="696">
        <f t="shared" si="1"/>
        <v>0.04347904101042192</v>
      </c>
      <c r="BI23" s="697">
        <f t="shared" si="12"/>
        <v>156456</v>
      </c>
      <c r="BJ23" s="983"/>
    </row>
    <row r="24" spans="1:62" s="638" customFormat="1" ht="11.25" customHeight="1">
      <c r="A24" s="681">
        <v>28000</v>
      </c>
      <c r="B24" s="682" t="s">
        <v>134</v>
      </c>
      <c r="C24" s="683"/>
      <c r="D24" s="684">
        <f t="shared" si="2"/>
        <v>0.016775746483237503</v>
      </c>
      <c r="E24" s="685"/>
      <c r="F24" s="684">
        <f t="shared" si="3"/>
        <v>0.038841877118093615</v>
      </c>
      <c r="G24" s="686"/>
      <c r="H24" s="684">
        <f t="shared" si="4"/>
        <v>0.008951731606776417</v>
      </c>
      <c r="I24" s="651"/>
      <c r="J24" s="651">
        <f t="shared" si="5"/>
        <v>0.0027999860203362778</v>
      </c>
      <c r="K24" s="687"/>
      <c r="L24" s="688">
        <f t="shared" si="0"/>
        <v>0.012792473915422467</v>
      </c>
      <c r="M24" s="651"/>
      <c r="N24" s="689"/>
      <c r="O24" s="690"/>
      <c r="P24" s="690"/>
      <c r="Q24" s="691">
        <f t="shared" si="6"/>
        <v>0.022609846072371632</v>
      </c>
      <c r="R24" s="687"/>
      <c r="S24" s="692"/>
      <c r="T24" s="693"/>
      <c r="U24" s="692"/>
      <c r="V24" s="693"/>
      <c r="W24" s="651"/>
      <c r="X24" s="698"/>
      <c r="Y24" s="688">
        <f t="shared" si="7"/>
        <v>0.04123618614423035</v>
      </c>
      <c r="AA24" s="695"/>
      <c r="AB24" s="692"/>
      <c r="AC24" s="693"/>
      <c r="AD24" s="692"/>
      <c r="AE24" s="693"/>
      <c r="AF24" s="651"/>
      <c r="AG24" s="698"/>
      <c r="AH24" s="651">
        <f t="shared" si="8"/>
        <v>0.025345138157463802</v>
      </c>
      <c r="AI24" s="687"/>
      <c r="AJ24" s="692"/>
      <c r="AK24" s="693"/>
      <c r="AL24" s="692"/>
      <c r="AM24" s="693"/>
      <c r="AN24" s="651"/>
      <c r="AO24" s="698"/>
      <c r="AP24" s="651">
        <f t="shared" si="9"/>
        <v>0.009057251966165943</v>
      </c>
      <c r="AQ24" s="687"/>
      <c r="AR24" s="692"/>
      <c r="AS24" s="693"/>
      <c r="AT24" s="692"/>
      <c r="AU24" s="693"/>
      <c r="AV24" s="651"/>
      <c r="AW24" s="694"/>
      <c r="AX24" s="651">
        <f t="shared" si="10"/>
        <v>0.02461293466270182</v>
      </c>
      <c r="AY24" s="687"/>
      <c r="AZ24" s="692"/>
      <c r="BA24" s="693"/>
      <c r="BB24" s="692"/>
      <c r="BC24" s="693"/>
      <c r="BD24" s="651"/>
      <c r="BE24" s="694"/>
      <c r="BF24" s="688">
        <f t="shared" si="11"/>
        <v>0.012491059286084013</v>
      </c>
      <c r="BH24" s="696">
        <f t="shared" si="1"/>
        <v>0.024438693238788244</v>
      </c>
      <c r="BI24" s="697">
        <f t="shared" si="12"/>
        <v>87941</v>
      </c>
      <c r="BJ24" s="983"/>
    </row>
    <row r="25" spans="1:62" s="638" customFormat="1" ht="11.25" customHeight="1">
      <c r="A25" s="681">
        <v>31000</v>
      </c>
      <c r="B25" s="682" t="s">
        <v>135</v>
      </c>
      <c r="C25" s="683"/>
      <c r="D25" s="684">
        <f t="shared" si="2"/>
        <v>0.012071221070684488</v>
      </c>
      <c r="E25" s="685"/>
      <c r="F25" s="684">
        <f t="shared" si="3"/>
        <v>0</v>
      </c>
      <c r="G25" s="686"/>
      <c r="H25" s="684">
        <f t="shared" si="4"/>
        <v>0.015343018366172736</v>
      </c>
      <c r="I25" s="651"/>
      <c r="J25" s="651">
        <f t="shared" si="5"/>
        <v>0.009709528360052526</v>
      </c>
      <c r="K25" s="687"/>
      <c r="L25" s="688">
        <f t="shared" si="0"/>
        <v>0.0433670807962266</v>
      </c>
      <c r="M25" s="651"/>
      <c r="N25" s="689"/>
      <c r="O25" s="690"/>
      <c r="P25" s="690"/>
      <c r="Q25" s="691">
        <f t="shared" si="6"/>
        <v>0.038480178948769386</v>
      </c>
      <c r="R25" s="687"/>
      <c r="S25" s="692"/>
      <c r="T25" s="693"/>
      <c r="U25" s="692"/>
      <c r="V25" s="693"/>
      <c r="W25" s="651"/>
      <c r="X25" s="698"/>
      <c r="Y25" s="688">
        <f t="shared" si="7"/>
        <v>0.03528477997984295</v>
      </c>
      <c r="AA25" s="695"/>
      <c r="AB25" s="692"/>
      <c r="AC25" s="693"/>
      <c r="AD25" s="692"/>
      <c r="AE25" s="693"/>
      <c r="AF25" s="651"/>
      <c r="AG25" s="698"/>
      <c r="AH25" s="651">
        <f t="shared" si="8"/>
        <v>0.10526034199393994</v>
      </c>
      <c r="AI25" s="687"/>
      <c r="AJ25" s="692"/>
      <c r="AK25" s="693"/>
      <c r="AL25" s="692"/>
      <c r="AM25" s="693"/>
      <c r="AN25" s="651"/>
      <c r="AO25" s="698"/>
      <c r="AP25" s="651">
        <f t="shared" si="9"/>
        <v>0.042179007257460495</v>
      </c>
      <c r="AQ25" s="687"/>
      <c r="AR25" s="692"/>
      <c r="AS25" s="693"/>
      <c r="AT25" s="692"/>
      <c r="AU25" s="693"/>
      <c r="AV25" s="651"/>
      <c r="AW25" s="694"/>
      <c r="AX25" s="651">
        <f t="shared" si="10"/>
        <v>0.06382399129181601</v>
      </c>
      <c r="AY25" s="687"/>
      <c r="AZ25" s="692"/>
      <c r="BA25" s="693"/>
      <c r="BB25" s="692"/>
      <c r="BC25" s="693"/>
      <c r="BD25" s="651"/>
      <c r="BE25" s="694"/>
      <c r="BF25" s="688">
        <f t="shared" si="11"/>
        <v>0.05925998689289954</v>
      </c>
      <c r="BH25" s="696">
        <f t="shared" si="1"/>
        <v>0.034355844701699036</v>
      </c>
      <c r="BI25" s="697">
        <f t="shared" si="12"/>
        <v>123627</v>
      </c>
      <c r="BJ25" s="983"/>
    </row>
    <row r="26" spans="1:62" s="638" customFormat="1" ht="11.25" customHeight="1">
      <c r="A26" s="681">
        <v>41000</v>
      </c>
      <c r="B26" s="682" t="s">
        <v>136</v>
      </c>
      <c r="C26" s="683"/>
      <c r="D26" s="684">
        <f t="shared" si="2"/>
        <v>0.027566252595850396</v>
      </c>
      <c r="E26" s="685"/>
      <c r="F26" s="684">
        <f t="shared" si="3"/>
        <v>0</v>
      </c>
      <c r="G26" s="686"/>
      <c r="H26" s="684">
        <f t="shared" si="4"/>
        <v>0.027100073523423095</v>
      </c>
      <c r="I26" s="651"/>
      <c r="J26" s="651">
        <f t="shared" si="5"/>
        <v>0.0771036796276538</v>
      </c>
      <c r="K26" s="687"/>
      <c r="L26" s="688">
        <f t="shared" si="0"/>
        <v>0.024078696846328525</v>
      </c>
      <c r="M26" s="651"/>
      <c r="N26" s="689"/>
      <c r="O26" s="690"/>
      <c r="P26" s="690"/>
      <c r="Q26" s="691">
        <f t="shared" si="6"/>
        <v>0.0326075999108803</v>
      </c>
      <c r="R26" s="687"/>
      <c r="S26" s="692"/>
      <c r="T26" s="693"/>
      <c r="U26" s="692"/>
      <c r="V26" s="693"/>
      <c r="W26" s="651"/>
      <c r="X26" s="698"/>
      <c r="Y26" s="688">
        <f t="shared" si="7"/>
        <v>0.06308271361843305</v>
      </c>
      <c r="AA26" s="695"/>
      <c r="AB26" s="692"/>
      <c r="AC26" s="693"/>
      <c r="AD26" s="692"/>
      <c r="AE26" s="693"/>
      <c r="AF26" s="651"/>
      <c r="AG26" s="698"/>
      <c r="AH26" s="651">
        <f t="shared" si="8"/>
        <v>0.04434817965474432</v>
      </c>
      <c r="AI26" s="687"/>
      <c r="AJ26" s="692"/>
      <c r="AK26" s="693"/>
      <c r="AL26" s="692"/>
      <c r="AM26" s="693"/>
      <c r="AN26" s="651"/>
      <c r="AO26" s="698"/>
      <c r="AP26" s="651">
        <f t="shared" si="9"/>
        <v>0.010255937858247618</v>
      </c>
      <c r="AQ26" s="687"/>
      <c r="AR26" s="692"/>
      <c r="AS26" s="693"/>
      <c r="AT26" s="692"/>
      <c r="AU26" s="693"/>
      <c r="AV26" s="651"/>
      <c r="AW26" s="694"/>
      <c r="AX26" s="651">
        <f t="shared" si="10"/>
        <v>0.05899632475492379</v>
      </c>
      <c r="AY26" s="687"/>
      <c r="AZ26" s="692"/>
      <c r="BA26" s="693"/>
      <c r="BB26" s="692"/>
      <c r="BC26" s="693"/>
      <c r="BD26" s="651"/>
      <c r="BE26" s="694"/>
      <c r="BF26" s="688">
        <f t="shared" si="11"/>
        <v>0.06444153183061803</v>
      </c>
      <c r="BH26" s="696">
        <f t="shared" si="1"/>
        <v>0.04816919907676443</v>
      </c>
      <c r="BI26" s="697">
        <f t="shared" si="12"/>
        <v>173333</v>
      </c>
      <c r="BJ26" s="983"/>
    </row>
    <row r="27" spans="1:62" s="638" customFormat="1" ht="11.25" customHeight="1">
      <c r="A27" s="681">
        <v>43000</v>
      </c>
      <c r="B27" s="682" t="s">
        <v>137</v>
      </c>
      <c r="C27" s="683"/>
      <c r="D27" s="684">
        <f t="shared" si="2"/>
        <v>0.02282144140447077</v>
      </c>
      <c r="E27" s="685"/>
      <c r="F27" s="684">
        <f t="shared" si="3"/>
        <v>0</v>
      </c>
      <c r="G27" s="686"/>
      <c r="H27" s="684">
        <f t="shared" si="4"/>
        <v>0.024361823911168985</v>
      </c>
      <c r="I27" s="651"/>
      <c r="J27" s="651">
        <f t="shared" si="5"/>
        <v>0.0037155544936642525</v>
      </c>
      <c r="K27" s="687"/>
      <c r="L27" s="688">
        <f t="shared" si="0"/>
        <v>0.028937200742597164</v>
      </c>
      <c r="M27" s="651"/>
      <c r="N27" s="689"/>
      <c r="O27" s="690"/>
      <c r="P27" s="690"/>
      <c r="Q27" s="691">
        <f t="shared" si="6"/>
        <v>0.030361464671757092</v>
      </c>
      <c r="R27" s="687"/>
      <c r="S27" s="692"/>
      <c r="T27" s="693"/>
      <c r="U27" s="692"/>
      <c r="V27" s="693"/>
      <c r="W27" s="651"/>
      <c r="X27" s="698"/>
      <c r="Y27" s="688">
        <f t="shared" si="7"/>
        <v>0.038263542210843084</v>
      </c>
      <c r="AA27" s="695"/>
      <c r="AB27" s="692"/>
      <c r="AC27" s="693"/>
      <c r="AD27" s="692"/>
      <c r="AE27" s="693"/>
      <c r="AF27" s="651"/>
      <c r="AG27" s="698"/>
      <c r="AH27" s="651">
        <f t="shared" si="8"/>
        <v>0.03146296771645611</v>
      </c>
      <c r="AI27" s="687"/>
      <c r="AJ27" s="692"/>
      <c r="AK27" s="693"/>
      <c r="AL27" s="692"/>
      <c r="AM27" s="693"/>
      <c r="AN27" s="651"/>
      <c r="AO27" s="698"/>
      <c r="AP27" s="651">
        <f t="shared" si="9"/>
        <v>0.01107835783666112</v>
      </c>
      <c r="AQ27" s="687"/>
      <c r="AR27" s="692"/>
      <c r="AS27" s="693"/>
      <c r="AT27" s="692"/>
      <c r="AU27" s="693"/>
      <c r="AV27" s="651"/>
      <c r="AW27" s="694"/>
      <c r="AX27" s="651">
        <f t="shared" si="10"/>
        <v>0.02916764448748036</v>
      </c>
      <c r="AY27" s="687"/>
      <c r="AZ27" s="692"/>
      <c r="BA27" s="693"/>
      <c r="BB27" s="692"/>
      <c r="BC27" s="693"/>
      <c r="BD27" s="651"/>
      <c r="BE27" s="694"/>
      <c r="BF27" s="688">
        <f t="shared" si="11"/>
        <v>0.028659354341101208</v>
      </c>
      <c r="BH27" s="696">
        <f t="shared" si="1"/>
        <v>0.027892465990936453</v>
      </c>
      <c r="BI27" s="697">
        <f t="shared" si="12"/>
        <v>100369</v>
      </c>
      <c r="BJ27" s="983"/>
    </row>
    <row r="28" spans="1:62" s="638" customFormat="1" ht="11.25" customHeight="1">
      <c r="A28" s="681">
        <v>51000</v>
      </c>
      <c r="B28" s="682" t="s">
        <v>138</v>
      </c>
      <c r="C28" s="683"/>
      <c r="D28" s="684">
        <f t="shared" si="2"/>
        <v>0.002981804174047251</v>
      </c>
      <c r="E28" s="685"/>
      <c r="F28" s="684">
        <f t="shared" si="3"/>
        <v>0.20490766836649385</v>
      </c>
      <c r="G28" s="699"/>
      <c r="H28" s="684">
        <f t="shared" si="4"/>
        <v>0.003928763731961281</v>
      </c>
      <c r="I28" s="651"/>
      <c r="J28" s="651">
        <f t="shared" si="5"/>
        <v>0</v>
      </c>
      <c r="K28" s="687"/>
      <c r="L28" s="688">
        <f t="shared" si="0"/>
        <v>0.0027166455099025305</v>
      </c>
      <c r="M28" s="651"/>
      <c r="N28" s="689"/>
      <c r="O28" s="690"/>
      <c r="P28" s="690"/>
      <c r="Q28" s="691">
        <f t="shared" si="6"/>
        <v>0.024155255733085162</v>
      </c>
      <c r="R28" s="687"/>
      <c r="S28" s="692"/>
      <c r="T28" s="693"/>
      <c r="U28" s="692"/>
      <c r="V28" s="693"/>
      <c r="W28" s="651"/>
      <c r="X28" s="698"/>
      <c r="Y28" s="688">
        <f t="shared" si="7"/>
        <v>0.01548591333414949</v>
      </c>
      <c r="AA28" s="695"/>
      <c r="AB28" s="692"/>
      <c r="AC28" s="693"/>
      <c r="AD28" s="692"/>
      <c r="AE28" s="693"/>
      <c r="AF28" s="651"/>
      <c r="AG28" s="698"/>
      <c r="AH28" s="651">
        <f t="shared" si="8"/>
        <v>0.006348940035875539</v>
      </c>
      <c r="AI28" s="687"/>
      <c r="AJ28" s="692"/>
      <c r="AK28" s="693"/>
      <c r="AL28" s="692"/>
      <c r="AM28" s="693"/>
      <c r="AN28" s="651"/>
      <c r="AO28" s="698"/>
      <c r="AP28" s="651">
        <f t="shared" si="9"/>
        <v>0.011220163364352581</v>
      </c>
      <c r="AQ28" s="687"/>
      <c r="AR28" s="692"/>
      <c r="AS28" s="693"/>
      <c r="AT28" s="692"/>
      <c r="AU28" s="693"/>
      <c r="AV28" s="651"/>
      <c r="AW28" s="694"/>
      <c r="AX28" s="651">
        <f t="shared" si="10"/>
        <v>0.009905770835181177</v>
      </c>
      <c r="AY28" s="687"/>
      <c r="AZ28" s="692"/>
      <c r="BA28" s="693"/>
      <c r="BB28" s="692"/>
      <c r="BC28" s="693"/>
      <c r="BD28" s="651"/>
      <c r="BE28" s="694"/>
      <c r="BF28" s="688">
        <f t="shared" si="11"/>
        <v>0.019591687398736634</v>
      </c>
      <c r="BH28" s="696">
        <f t="shared" si="1"/>
        <v>0.014219686218806666</v>
      </c>
      <c r="BI28" s="697">
        <f>ROUND(BH28*BI$6,0)+1</f>
        <v>51169</v>
      </c>
      <c r="BJ28" s="983"/>
    </row>
    <row r="29" spans="1:62" s="638" customFormat="1" ht="11.25" customHeight="1">
      <c r="A29" s="681">
        <v>52000</v>
      </c>
      <c r="B29" s="682" t="s">
        <v>139</v>
      </c>
      <c r="C29" s="683"/>
      <c r="D29" s="684">
        <f t="shared" si="2"/>
        <v>0.0004281133424209525</v>
      </c>
      <c r="E29" s="685"/>
      <c r="F29" s="684">
        <f t="shared" si="3"/>
        <v>0.08943620198944632</v>
      </c>
      <c r="G29" s="699"/>
      <c r="H29" s="684">
        <f t="shared" si="4"/>
        <v>0.000655221276471906</v>
      </c>
      <c r="I29" s="651"/>
      <c r="J29" s="651">
        <f t="shared" si="5"/>
        <v>0.0027857600334567855</v>
      </c>
      <c r="K29" s="687"/>
      <c r="L29" s="688">
        <f t="shared" si="0"/>
        <v>0.0004953711858872456</v>
      </c>
      <c r="M29" s="651"/>
      <c r="N29" s="689"/>
      <c r="O29" s="690"/>
      <c r="P29" s="690"/>
      <c r="Q29" s="691">
        <f t="shared" si="6"/>
        <v>0.004292428078291251</v>
      </c>
      <c r="R29" s="687"/>
      <c r="S29" s="692"/>
      <c r="T29" s="693"/>
      <c r="U29" s="692"/>
      <c r="V29" s="693"/>
      <c r="W29" s="651"/>
      <c r="X29" s="698"/>
      <c r="Y29" s="688">
        <f t="shared" si="7"/>
        <v>0.0056278897612398225</v>
      </c>
      <c r="AA29" s="695"/>
      <c r="AB29" s="692"/>
      <c r="AC29" s="693"/>
      <c r="AD29" s="692"/>
      <c r="AE29" s="693"/>
      <c r="AF29" s="651"/>
      <c r="AG29" s="698"/>
      <c r="AH29" s="651">
        <f t="shared" si="8"/>
        <v>0.0008274750253117712</v>
      </c>
      <c r="AI29" s="687"/>
      <c r="AJ29" s="692"/>
      <c r="AK29" s="693"/>
      <c r="AL29" s="692"/>
      <c r="AM29" s="693"/>
      <c r="AN29" s="651"/>
      <c r="AO29" s="698"/>
      <c r="AP29" s="651">
        <f t="shared" si="9"/>
        <v>0</v>
      </c>
      <c r="AQ29" s="687"/>
      <c r="AR29" s="692"/>
      <c r="AS29" s="693"/>
      <c r="AT29" s="692"/>
      <c r="AU29" s="693"/>
      <c r="AV29" s="651"/>
      <c r="AW29" s="694"/>
      <c r="AX29" s="651">
        <f t="shared" si="10"/>
        <v>0.0017919420974417954</v>
      </c>
      <c r="AY29" s="687"/>
      <c r="AZ29" s="692"/>
      <c r="BA29" s="693"/>
      <c r="BB29" s="692"/>
      <c r="BC29" s="693"/>
      <c r="BD29" s="651"/>
      <c r="BE29" s="694"/>
      <c r="BF29" s="688">
        <f t="shared" si="11"/>
        <v>0.0026361282413792505</v>
      </c>
      <c r="BH29" s="696">
        <f t="shared" si="1"/>
        <v>0.004464249807301107</v>
      </c>
      <c r="BI29" s="697">
        <f>ROUND(BH29*BI$6,0)</f>
        <v>16064</v>
      </c>
      <c r="BJ29" s="983"/>
    </row>
    <row r="30" spans="1:62" s="638" customFormat="1" ht="11.25" customHeight="1">
      <c r="A30" s="681">
        <v>53000</v>
      </c>
      <c r="B30" s="682" t="s">
        <v>69</v>
      </c>
      <c r="C30" s="683"/>
      <c r="D30" s="684">
        <f t="shared" si="2"/>
        <v>0.0006692586032681083</v>
      </c>
      <c r="E30" s="685"/>
      <c r="F30" s="684">
        <f t="shared" si="3"/>
        <v>0.13031845188580127</v>
      </c>
      <c r="G30" s="699"/>
      <c r="H30" s="684">
        <f t="shared" si="4"/>
        <v>0.0006873743624097942</v>
      </c>
      <c r="I30" s="651"/>
      <c r="J30" s="651">
        <f t="shared" si="5"/>
        <v>0</v>
      </c>
      <c r="K30" s="687"/>
      <c r="L30" s="688">
        <f t="shared" si="0"/>
        <v>0.0023358042177094064</v>
      </c>
      <c r="M30" s="651"/>
      <c r="N30" s="689"/>
      <c r="O30" s="690"/>
      <c r="P30" s="690"/>
      <c r="Q30" s="691">
        <f t="shared" si="6"/>
        <v>0.0036303449243873026</v>
      </c>
      <c r="R30" s="687"/>
      <c r="S30" s="692"/>
      <c r="T30" s="693"/>
      <c r="U30" s="692"/>
      <c r="V30" s="693"/>
      <c r="W30" s="651"/>
      <c r="X30" s="698"/>
      <c r="Y30" s="688">
        <f t="shared" si="7"/>
        <v>0.006270048580483797</v>
      </c>
      <c r="AA30" s="695"/>
      <c r="AB30" s="692"/>
      <c r="AC30" s="693"/>
      <c r="AD30" s="692"/>
      <c r="AE30" s="693"/>
      <c r="AF30" s="651"/>
      <c r="AG30" s="698"/>
      <c r="AH30" s="651">
        <f t="shared" si="8"/>
        <v>0.0016063844706235332</v>
      </c>
      <c r="AI30" s="687"/>
      <c r="AJ30" s="692"/>
      <c r="AK30" s="693"/>
      <c r="AL30" s="692"/>
      <c r="AM30" s="693"/>
      <c r="AN30" s="651"/>
      <c r="AO30" s="698"/>
      <c r="AP30" s="651">
        <f t="shared" si="9"/>
        <v>0.003938594667614783</v>
      </c>
      <c r="AQ30" s="687"/>
      <c r="AR30" s="692"/>
      <c r="AS30" s="693"/>
      <c r="AT30" s="692"/>
      <c r="AU30" s="693"/>
      <c r="AV30" s="651"/>
      <c r="AW30" s="694"/>
      <c r="AX30" s="651">
        <f t="shared" si="10"/>
        <v>0.0062762869625141</v>
      </c>
      <c r="AY30" s="687"/>
      <c r="AZ30" s="692"/>
      <c r="BA30" s="693"/>
      <c r="BB30" s="692"/>
      <c r="BC30" s="693"/>
      <c r="BD30" s="651"/>
      <c r="BE30" s="694"/>
      <c r="BF30" s="688">
        <f t="shared" si="11"/>
        <v>0.006021915933821808</v>
      </c>
      <c r="BH30" s="696">
        <f t="shared" si="1"/>
        <v>0.006453181924249734</v>
      </c>
      <c r="BI30" s="697">
        <f t="shared" si="12"/>
        <v>23221</v>
      </c>
      <c r="BJ30" s="983"/>
    </row>
    <row r="31" spans="1:62" s="638" customFormat="1" ht="11.25" customHeight="1">
      <c r="A31" s="681">
        <v>54000</v>
      </c>
      <c r="B31" s="682" t="s">
        <v>140</v>
      </c>
      <c r="C31" s="683"/>
      <c r="D31" s="684">
        <f t="shared" si="2"/>
        <v>0.001148907073261452</v>
      </c>
      <c r="E31" s="685"/>
      <c r="F31" s="684">
        <f t="shared" si="3"/>
        <v>0.17720890346745277</v>
      </c>
      <c r="G31" s="699"/>
      <c r="H31" s="684">
        <f t="shared" si="4"/>
        <v>0.0005799080524473444</v>
      </c>
      <c r="I31" s="651"/>
      <c r="J31" s="651">
        <f t="shared" si="5"/>
        <v>0</v>
      </c>
      <c r="K31" s="687"/>
      <c r="L31" s="688">
        <f t="shared" si="0"/>
        <v>0.001702063934087129</v>
      </c>
      <c r="M31" s="651"/>
      <c r="N31" s="689"/>
      <c r="O31" s="690"/>
      <c r="P31" s="690"/>
      <c r="Q31" s="691">
        <f t="shared" si="6"/>
        <v>0.01249344786141377</v>
      </c>
      <c r="R31" s="687"/>
      <c r="S31" s="692"/>
      <c r="T31" s="693"/>
      <c r="U31" s="692"/>
      <c r="V31" s="693"/>
      <c r="W31" s="651"/>
      <c r="X31" s="698"/>
      <c r="Y31" s="688">
        <f t="shared" si="7"/>
        <v>0.010334830054703651</v>
      </c>
      <c r="AA31" s="695"/>
      <c r="AB31" s="692"/>
      <c r="AC31" s="693"/>
      <c r="AD31" s="692"/>
      <c r="AE31" s="693"/>
      <c r="AF31" s="651"/>
      <c r="AG31" s="698"/>
      <c r="AH31" s="651">
        <f t="shared" si="8"/>
        <v>0.0037586308873286387</v>
      </c>
      <c r="AI31" s="687"/>
      <c r="AJ31" s="692"/>
      <c r="AK31" s="693"/>
      <c r="AL31" s="692"/>
      <c r="AM31" s="693"/>
      <c r="AN31" s="651"/>
      <c r="AO31" s="698"/>
      <c r="AP31" s="651">
        <f t="shared" si="9"/>
        <v>0.0004087738488070071</v>
      </c>
      <c r="AQ31" s="687"/>
      <c r="AR31" s="692"/>
      <c r="AS31" s="693"/>
      <c r="AT31" s="692"/>
      <c r="AU31" s="693"/>
      <c r="AV31" s="651"/>
      <c r="AW31" s="694"/>
      <c r="AX31" s="651">
        <f t="shared" si="10"/>
        <v>0.005730366269631568</v>
      </c>
      <c r="AY31" s="687"/>
      <c r="AZ31" s="692"/>
      <c r="BA31" s="693"/>
      <c r="BB31" s="692"/>
      <c r="BC31" s="693"/>
      <c r="BD31" s="651"/>
      <c r="BE31" s="694"/>
      <c r="BF31" s="688">
        <f t="shared" si="11"/>
        <v>0.0036836727026954667</v>
      </c>
      <c r="BH31" s="696">
        <f t="shared" si="1"/>
        <v>0.008591347762893269</v>
      </c>
      <c r="BI31" s="697">
        <f t="shared" si="12"/>
        <v>30915</v>
      </c>
      <c r="BJ31" s="983"/>
    </row>
    <row r="32" spans="1:62" s="638" customFormat="1" ht="11.25" customHeight="1">
      <c r="A32" s="681">
        <v>55000</v>
      </c>
      <c r="B32" s="682" t="s">
        <v>57</v>
      </c>
      <c r="C32" s="700"/>
      <c r="D32" s="684">
        <f t="shared" si="2"/>
        <v>0</v>
      </c>
      <c r="E32" s="685"/>
      <c r="F32" s="684">
        <f t="shared" si="3"/>
        <v>0</v>
      </c>
      <c r="G32" s="686"/>
      <c r="H32" s="684">
        <f t="shared" si="4"/>
        <v>4.0846192049646404E-05</v>
      </c>
      <c r="I32" s="651"/>
      <c r="J32" s="651">
        <f t="shared" si="5"/>
        <v>0</v>
      </c>
      <c r="K32" s="687"/>
      <c r="L32" s="688">
        <f t="shared" si="0"/>
        <v>0.003065623938272204</v>
      </c>
      <c r="M32" s="651"/>
      <c r="N32" s="689"/>
      <c r="O32" s="690"/>
      <c r="P32" s="690"/>
      <c r="Q32" s="691">
        <f t="shared" si="6"/>
        <v>0.003202187675125425</v>
      </c>
      <c r="R32" s="687"/>
      <c r="S32" s="692"/>
      <c r="T32" s="693"/>
      <c r="U32" s="692"/>
      <c r="V32" s="693"/>
      <c r="W32" s="651"/>
      <c r="X32" s="698"/>
      <c r="Y32" s="688">
        <f t="shared" si="7"/>
        <v>0.00605604734525379</v>
      </c>
      <c r="AA32" s="695"/>
      <c r="AB32" s="692"/>
      <c r="AC32" s="693"/>
      <c r="AD32" s="692"/>
      <c r="AE32" s="693"/>
      <c r="AF32" s="651"/>
      <c r="AG32" s="698"/>
      <c r="AH32" s="651">
        <f t="shared" si="8"/>
        <v>0.0014916835795640362</v>
      </c>
      <c r="AI32" s="687"/>
      <c r="AJ32" s="692"/>
      <c r="AK32" s="693"/>
      <c r="AL32" s="692"/>
      <c r="AM32" s="693"/>
      <c r="AN32" s="651"/>
      <c r="AO32" s="698"/>
      <c r="AP32" s="651">
        <f t="shared" si="9"/>
        <v>0</v>
      </c>
      <c r="AQ32" s="687"/>
      <c r="AR32" s="692"/>
      <c r="AS32" s="693"/>
      <c r="AT32" s="692"/>
      <c r="AU32" s="693"/>
      <c r="AV32" s="651"/>
      <c r="AW32" s="694"/>
      <c r="AX32" s="651">
        <f t="shared" si="10"/>
        <v>0.004362031304692622</v>
      </c>
      <c r="AY32" s="687"/>
      <c r="AZ32" s="692"/>
      <c r="BA32" s="693"/>
      <c r="BB32" s="692"/>
      <c r="BC32" s="693"/>
      <c r="BD32" s="651"/>
      <c r="BE32" s="694"/>
      <c r="BF32" s="688">
        <f t="shared" si="11"/>
        <v>0.0009301339224360796</v>
      </c>
      <c r="BH32" s="696">
        <f t="shared" si="1"/>
        <v>0.0027071448544688146</v>
      </c>
      <c r="BI32" s="697">
        <f t="shared" si="12"/>
        <v>9741</v>
      </c>
      <c r="BJ32" s="983"/>
    </row>
    <row r="33" spans="1:62" s="638" customFormat="1" ht="11.25" customHeight="1" thickBot="1">
      <c r="A33" s="701">
        <v>56000</v>
      </c>
      <c r="B33" s="702" t="s">
        <v>141</v>
      </c>
      <c r="C33" s="703"/>
      <c r="D33" s="704">
        <f t="shared" si="2"/>
        <v>0.0005750575439885516</v>
      </c>
      <c r="E33" s="705"/>
      <c r="F33" s="704">
        <f>F89</f>
        <v>0</v>
      </c>
      <c r="G33" s="705"/>
      <c r="H33" s="704">
        <f t="shared" si="4"/>
        <v>0</v>
      </c>
      <c r="I33" s="712"/>
      <c r="J33" s="704">
        <f t="shared" si="5"/>
        <v>0</v>
      </c>
      <c r="K33" s="705"/>
      <c r="L33" s="706">
        <f>(L89*5+L117*3+L145*2)/10</f>
        <v>0.0017115987697772107</v>
      </c>
      <c r="M33" s="651"/>
      <c r="N33" s="707"/>
      <c r="O33" s="708"/>
      <c r="P33" s="708"/>
      <c r="Q33" s="704">
        <f t="shared" si="6"/>
        <v>0.002031810750665527</v>
      </c>
      <c r="R33" s="709"/>
      <c r="S33" s="710"/>
      <c r="T33" s="711"/>
      <c r="U33" s="710"/>
      <c r="V33" s="711"/>
      <c r="W33" s="712"/>
      <c r="X33" s="713"/>
      <c r="Y33" s="706">
        <f>Y61</f>
        <v>0.0036354723450801292</v>
      </c>
      <c r="AA33" s="714"/>
      <c r="AB33" s="710"/>
      <c r="AC33" s="711"/>
      <c r="AD33" s="710"/>
      <c r="AE33" s="711"/>
      <c r="AF33" s="712"/>
      <c r="AG33" s="713"/>
      <c r="AH33" s="704">
        <f>(AH61*5+AH89*3+AH117*2)/10</f>
        <v>0.001548556908901659</v>
      </c>
      <c r="AI33" s="709"/>
      <c r="AJ33" s="710"/>
      <c r="AK33" s="711"/>
      <c r="AL33" s="710"/>
      <c r="AM33" s="711"/>
      <c r="AN33" s="712"/>
      <c r="AO33" s="713"/>
      <c r="AP33" s="704">
        <f>(AP61*5+AP89*3+AP117*2)/10</f>
        <v>0</v>
      </c>
      <c r="AQ33" s="709"/>
      <c r="AR33" s="710"/>
      <c r="AS33" s="711"/>
      <c r="AT33" s="710"/>
      <c r="AU33" s="711"/>
      <c r="AV33" s="712"/>
      <c r="AW33" s="715"/>
      <c r="AX33" s="704">
        <f>(AX61*5+AX89*3+AX117*2)/10</f>
        <v>0.002430493835464344</v>
      </c>
      <c r="AY33" s="709"/>
      <c r="AZ33" s="710"/>
      <c r="BA33" s="711"/>
      <c r="BB33" s="710"/>
      <c r="BC33" s="711"/>
      <c r="BD33" s="712"/>
      <c r="BE33" s="715"/>
      <c r="BF33" s="706">
        <f>(BF61*5+BF89*3+BF117*2)/10</f>
        <v>0.0028597197557646697</v>
      </c>
      <c r="BH33" s="716">
        <f t="shared" si="1"/>
        <v>0.0020177449231825162</v>
      </c>
      <c r="BI33" s="717">
        <f t="shared" si="12"/>
        <v>7261</v>
      </c>
      <c r="BJ33" s="983"/>
    </row>
    <row r="34" spans="5:60" ht="11.25" customHeight="1">
      <c r="E34" s="718"/>
      <c r="G34" s="718"/>
      <c r="H34" s="635"/>
      <c r="I34" s="635"/>
      <c r="J34" s="635"/>
      <c r="K34" s="718"/>
      <c r="L34" s="635"/>
      <c r="M34" s="635"/>
      <c r="N34" s="635"/>
      <c r="O34" s="635"/>
      <c r="P34" s="635"/>
      <c r="Q34" s="635"/>
      <c r="R34" s="719"/>
      <c r="AG34" s="718"/>
      <c r="AH34" s="718"/>
      <c r="AI34" s="718"/>
      <c r="AJ34" s="718"/>
      <c r="AK34" s="718"/>
      <c r="AL34" s="718"/>
      <c r="AM34" s="718"/>
      <c r="AN34" s="718"/>
      <c r="AO34" s="718"/>
      <c r="AP34" s="718"/>
      <c r="AQ34" s="718"/>
      <c r="AR34" s="718"/>
      <c r="AS34" s="718"/>
      <c r="AT34" s="718"/>
      <c r="AU34" s="718"/>
      <c r="AV34" s="718"/>
      <c r="AW34" s="718"/>
      <c r="AX34" s="718"/>
      <c r="AY34" s="718"/>
      <c r="AZ34" s="718"/>
      <c r="BA34" s="718"/>
      <c r="BB34" s="718"/>
      <c r="BC34" s="718"/>
      <c r="BD34" s="718"/>
      <c r="BE34" s="718"/>
      <c r="BH34" s="720"/>
    </row>
    <row r="35" spans="1:60" ht="11.25" customHeight="1">
      <c r="A35" s="721" t="s">
        <v>437</v>
      </c>
      <c r="B35" s="722" t="s">
        <v>436</v>
      </c>
      <c r="E35" s="718"/>
      <c r="G35" s="718"/>
      <c r="H35" s="635"/>
      <c r="I35" s="635"/>
      <c r="J35" s="635"/>
      <c r="K35" s="718"/>
      <c r="L35" s="635"/>
      <c r="M35" s="635"/>
      <c r="N35" s="635"/>
      <c r="O35" s="635"/>
      <c r="P35" s="635"/>
      <c r="Q35" s="635"/>
      <c r="R35" s="723">
        <f aca="true" t="shared" si="13" ref="R35:Y35">SUM(R36:R61)</f>
        <v>57153.35300573272</v>
      </c>
      <c r="S35" s="724">
        <f t="shared" si="13"/>
        <v>1</v>
      </c>
      <c r="T35" s="725">
        <f t="shared" si="13"/>
        <v>32184.65355845265</v>
      </c>
      <c r="U35" s="724">
        <f t="shared" si="13"/>
        <v>1.0000000000000002</v>
      </c>
      <c r="V35" s="725">
        <f t="shared" si="13"/>
        <v>6182.0381357651495</v>
      </c>
      <c r="W35" s="724">
        <f t="shared" si="13"/>
        <v>1.0000000000000002</v>
      </c>
      <c r="X35" s="725">
        <f t="shared" si="13"/>
        <v>95520.04469995054</v>
      </c>
      <c r="Y35" s="726">
        <f t="shared" si="13"/>
        <v>0.9999999999999997</v>
      </c>
      <c r="AA35" s="723">
        <f aca="true" t="shared" si="14" ref="AA35:AP35">SUM(AA36:AA61)</f>
        <v>16332</v>
      </c>
      <c r="AB35" s="724">
        <f t="shared" si="14"/>
        <v>0.9999999999999998</v>
      </c>
      <c r="AC35" s="725">
        <f t="shared" si="14"/>
        <v>10356</v>
      </c>
      <c r="AD35" s="724">
        <f t="shared" si="14"/>
        <v>0.9999999999999999</v>
      </c>
      <c r="AE35" s="725">
        <f t="shared" si="14"/>
        <v>3365</v>
      </c>
      <c r="AF35" s="724">
        <f t="shared" si="14"/>
        <v>0.9999999999999998</v>
      </c>
      <c r="AG35" s="725">
        <f t="shared" si="14"/>
        <v>30053</v>
      </c>
      <c r="AH35" s="727">
        <f t="shared" si="14"/>
        <v>1</v>
      </c>
      <c r="AI35" s="728">
        <f t="shared" si="14"/>
        <v>535</v>
      </c>
      <c r="AJ35" s="724">
        <f t="shared" si="14"/>
        <v>0.9999999999999999</v>
      </c>
      <c r="AK35" s="725">
        <f t="shared" si="14"/>
        <v>3921</v>
      </c>
      <c r="AL35" s="724">
        <f t="shared" si="14"/>
        <v>1</v>
      </c>
      <c r="AM35" s="725">
        <f t="shared" si="14"/>
        <v>217</v>
      </c>
      <c r="AN35" s="724">
        <f t="shared" si="14"/>
        <v>1</v>
      </c>
      <c r="AO35" s="725">
        <f t="shared" si="14"/>
        <v>4673</v>
      </c>
      <c r="AP35" s="724">
        <f t="shared" si="14"/>
        <v>0.9999999999999998</v>
      </c>
      <c r="AQ35" s="728">
        <f>SUM(AQ36:AQ61)</f>
        <v>456787.45999999985</v>
      </c>
      <c r="AR35" s="724">
        <f aca="true" t="shared" si="15" ref="AR35:AX35">SUM(AR36:AR61)</f>
        <v>1.0000000000000004</v>
      </c>
      <c r="AS35" s="725">
        <f t="shared" si="15"/>
        <v>945894.0199999999</v>
      </c>
      <c r="AT35" s="724">
        <f t="shared" si="15"/>
        <v>1</v>
      </c>
      <c r="AU35" s="725">
        <f t="shared" si="15"/>
        <v>122424.30000000002</v>
      </c>
      <c r="AV35" s="724">
        <f t="shared" si="15"/>
        <v>0.9999999999999999</v>
      </c>
      <c r="AW35" s="725">
        <f t="shared" si="15"/>
        <v>1525105.7799999996</v>
      </c>
      <c r="AX35" s="727">
        <f t="shared" si="15"/>
        <v>1.0000000000000002</v>
      </c>
      <c r="AY35" s="728">
        <f>SUM(AY36:AY61)</f>
        <v>704826.0599999999</v>
      </c>
      <c r="AZ35" s="724">
        <f aca="true" t="shared" si="16" ref="AZ35:BF35">SUM(AZ36:AZ61)</f>
        <v>1.0000000000000002</v>
      </c>
      <c r="BA35" s="725">
        <f t="shared" si="16"/>
        <v>872485.44</v>
      </c>
      <c r="BB35" s="724">
        <f t="shared" si="16"/>
        <v>1</v>
      </c>
      <c r="BC35" s="725">
        <f t="shared" si="16"/>
        <v>35958.78</v>
      </c>
      <c r="BD35" s="724">
        <f t="shared" si="16"/>
        <v>1</v>
      </c>
      <c r="BE35" s="725">
        <f t="shared" si="16"/>
        <v>1613270.2799999998</v>
      </c>
      <c r="BF35" s="726">
        <f t="shared" si="16"/>
        <v>1</v>
      </c>
      <c r="BH35" s="720"/>
    </row>
    <row r="36" spans="1:60" ht="11.25" customHeight="1">
      <c r="A36" s="729">
        <v>11000</v>
      </c>
      <c r="B36" s="730" t="s">
        <v>121</v>
      </c>
      <c r="E36" s="718"/>
      <c r="G36" s="718"/>
      <c r="H36" s="635"/>
      <c r="I36" s="635"/>
      <c r="J36" s="635"/>
      <c r="K36" s="718"/>
      <c r="L36" s="635"/>
      <c r="M36" s="635"/>
      <c r="N36" s="635"/>
      <c r="O36" s="635"/>
      <c r="P36" s="635"/>
      <c r="Q36" s="635"/>
      <c r="R36" s="731">
        <v>4776.054934816731</v>
      </c>
      <c r="S36" s="732">
        <f>R36/R$35</f>
        <v>0.08356561222816922</v>
      </c>
      <c r="T36" s="733">
        <v>6667.7344273701265</v>
      </c>
      <c r="U36" s="732">
        <f>T36/T$35</f>
        <v>0.20717123505028318</v>
      </c>
      <c r="V36" s="733">
        <v>1439.920690550566</v>
      </c>
      <c r="W36" s="732">
        <f>V36/V$35</f>
        <v>0.2329200595221413</v>
      </c>
      <c r="X36" s="734">
        <f>R36+T36+V36</f>
        <v>12883.710052737422</v>
      </c>
      <c r="Y36" s="735">
        <f>X36/X$35</f>
        <v>0.13487964848852393</v>
      </c>
      <c r="AA36" s="731">
        <v>1503</v>
      </c>
      <c r="AB36" s="736">
        <f>AA36/$AA$35</f>
        <v>0.0920279206465834</v>
      </c>
      <c r="AC36" s="733">
        <v>2486</v>
      </c>
      <c r="AD36" s="736">
        <f>AC36/$AC$35</f>
        <v>0.24005407493240632</v>
      </c>
      <c r="AE36" s="733">
        <v>1228</v>
      </c>
      <c r="AF36" s="736">
        <f>AE36/$AE$35</f>
        <v>0.3649331352154532</v>
      </c>
      <c r="AG36" s="733">
        <f>AA36+AC36+AE36</f>
        <v>5217</v>
      </c>
      <c r="AH36" s="737">
        <f>AG36/$AG$35</f>
        <v>0.17359331847070175</v>
      </c>
      <c r="AI36" s="738">
        <v>145</v>
      </c>
      <c r="AJ36" s="736">
        <f>AI36/$AI$35</f>
        <v>0.27102803738317754</v>
      </c>
      <c r="AK36" s="733">
        <v>2244</v>
      </c>
      <c r="AL36" s="736">
        <f>AK36/$AK$35</f>
        <v>0.5723029839326702</v>
      </c>
      <c r="AM36" s="733">
        <v>37</v>
      </c>
      <c r="AN36" s="736">
        <f>AM36/$AM$35</f>
        <v>0.17050691244239632</v>
      </c>
      <c r="AO36" s="733">
        <f>SUM(AI36+AK36+AM36)</f>
        <v>2426</v>
      </c>
      <c r="AP36" s="737">
        <f>AO36/$AO$35</f>
        <v>0.5191525786432698</v>
      </c>
      <c r="AQ36" s="738">
        <v>50884.74</v>
      </c>
      <c r="AR36" s="736">
        <f>AQ36/$AQ$35</f>
        <v>0.11139697223737274</v>
      </c>
      <c r="AS36" s="733">
        <v>175317.6</v>
      </c>
      <c r="AT36" s="736">
        <f>AS36/$AS$35</f>
        <v>0.18534592279164638</v>
      </c>
      <c r="AU36" s="733">
        <v>15451.98</v>
      </c>
      <c r="AV36" s="736">
        <f>AU36/$AU$35</f>
        <v>0.12621660895753536</v>
      </c>
      <c r="AW36" s="733">
        <f>AQ36+AS36+AU36</f>
        <v>241654.32</v>
      </c>
      <c r="AX36" s="737">
        <f>AW36/$AW$35</f>
        <v>0.1584508584053757</v>
      </c>
      <c r="AY36" s="739">
        <v>233507.58000000002</v>
      </c>
      <c r="AZ36" s="736">
        <f>AY36/$AY$35</f>
        <v>0.3312981645428945</v>
      </c>
      <c r="BA36" s="733">
        <v>151165.02</v>
      </c>
      <c r="BB36" s="736">
        <f>BA36/$BA$35</f>
        <v>0.17325792852199345</v>
      </c>
      <c r="BC36" s="733">
        <v>10158.18</v>
      </c>
      <c r="BD36" s="736">
        <f>BC36/$BC$35</f>
        <v>0.2824951235831694</v>
      </c>
      <c r="BE36" s="733">
        <f>AY36+BA36+BC36</f>
        <v>394830.77999999997</v>
      </c>
      <c r="BF36" s="735">
        <f>BE36/$BE$35</f>
        <v>0.24473938737655293</v>
      </c>
      <c r="BH36" s="720"/>
    </row>
    <row r="37" spans="1:60" ht="11.25" customHeight="1">
      <c r="A37" s="681">
        <v>12000</v>
      </c>
      <c r="B37" s="682" t="s">
        <v>122</v>
      </c>
      <c r="E37" s="718"/>
      <c r="G37" s="718"/>
      <c r="H37" s="635"/>
      <c r="I37" s="635"/>
      <c r="J37" s="635"/>
      <c r="K37" s="718"/>
      <c r="L37" s="635"/>
      <c r="M37" s="635"/>
      <c r="N37" s="635"/>
      <c r="O37" s="635"/>
      <c r="P37" s="635"/>
      <c r="Q37" s="635"/>
      <c r="R37" s="731">
        <v>2818.821792302981</v>
      </c>
      <c r="S37" s="736">
        <f aca="true" t="shared" si="17" ref="S37:S61">R37/R$35</f>
        <v>0.04932032232685003</v>
      </c>
      <c r="T37" s="733">
        <v>995.3149373314299</v>
      </c>
      <c r="U37" s="736">
        <f aca="true" t="shared" si="18" ref="U37:U61">T37/T$35</f>
        <v>0.03092514062715553</v>
      </c>
      <c r="V37" s="733">
        <v>206.49489051094892</v>
      </c>
      <c r="W37" s="736">
        <f aca="true" t="shared" si="19" ref="W37:W60">V37/V$35</f>
        <v>0.033402396746197216</v>
      </c>
      <c r="X37" s="734">
        <f aca="true" t="shared" si="20" ref="X37:X61">R37+T37+V37</f>
        <v>4020.63162014536</v>
      </c>
      <c r="Y37" s="735">
        <f aca="true" t="shared" si="21" ref="Y37:Y61">X37/X$35</f>
        <v>0.04209201987682322</v>
      </c>
      <c r="AA37" s="731">
        <v>208</v>
      </c>
      <c r="AB37" s="736">
        <f aca="true" t="shared" si="22" ref="AB37:AB61">AA37/$AA$35</f>
        <v>0.012735733529267695</v>
      </c>
      <c r="AC37" s="733">
        <v>30</v>
      </c>
      <c r="AD37" s="736">
        <f aca="true" t="shared" si="23" ref="AD37:AD61">AC37/$AC$35</f>
        <v>0.0028968713789107765</v>
      </c>
      <c r="AE37" s="733">
        <v>85</v>
      </c>
      <c r="AF37" s="736">
        <f aca="true" t="shared" si="24" ref="AF37:AF61">AE37/$AE$35</f>
        <v>0.02526002971768202</v>
      </c>
      <c r="AG37" s="733">
        <f aca="true" t="shared" si="25" ref="AG37:AG61">AA37+AC37+AE37</f>
        <v>323</v>
      </c>
      <c r="AH37" s="737">
        <f aca="true" t="shared" si="26" ref="AH37:AH61">AG37/$AG$35</f>
        <v>0.010747679100256214</v>
      </c>
      <c r="AI37" s="738"/>
      <c r="AJ37" s="736">
        <f aca="true" t="shared" si="27" ref="AJ37:AJ61">AI37/$AI$35</f>
        <v>0</v>
      </c>
      <c r="AK37" s="733">
        <v>0</v>
      </c>
      <c r="AL37" s="736">
        <f aca="true" t="shared" si="28" ref="AL37:AL61">AK37/$AK$35</f>
        <v>0</v>
      </c>
      <c r="AM37" s="733">
        <v>1</v>
      </c>
      <c r="AN37" s="736">
        <f aca="true" t="shared" si="29" ref="AN37:AN61">AM37/$AM$35</f>
        <v>0.004608294930875576</v>
      </c>
      <c r="AO37" s="733">
        <f aca="true" t="shared" si="30" ref="AO37:AO61">SUM(AI37+AK37+AM37)</f>
        <v>1</v>
      </c>
      <c r="AP37" s="737">
        <f aca="true" t="shared" si="31" ref="AP37:AP61">AO37/$AO$35</f>
        <v>0.00021399529210357372</v>
      </c>
      <c r="AQ37" s="738">
        <v>14267.76</v>
      </c>
      <c r="AR37" s="736">
        <f aca="true" t="shared" si="32" ref="AR37:AR61">AQ37/$AQ$35</f>
        <v>0.031235008071368694</v>
      </c>
      <c r="AS37" s="733">
        <v>6565.74</v>
      </c>
      <c r="AT37" s="736">
        <f aca="true" t="shared" si="33" ref="AT37:AT61">AS37/$AS$35</f>
        <v>0.006941306172968511</v>
      </c>
      <c r="AU37" s="733">
        <v>1575.9</v>
      </c>
      <c r="AV37" s="736">
        <f aca="true" t="shared" si="34" ref="AV37:AV61">AU37/$AU$35</f>
        <v>0.012872444441177118</v>
      </c>
      <c r="AW37" s="733">
        <f aca="true" t="shared" si="35" ref="AW37:AW61">AQ37+AS37+AU37</f>
        <v>22409.4</v>
      </c>
      <c r="AX37" s="737">
        <f aca="true" t="shared" si="36" ref="AX37:AX61">AW37/$AW$35</f>
        <v>0.0146936693138754</v>
      </c>
      <c r="AY37" s="739">
        <v>14499.300000000001</v>
      </c>
      <c r="AZ37" s="736">
        <f aca="true" t="shared" si="37" ref="AZ37:AZ61">AY37/$AY$35</f>
        <v>0.02057145843897997</v>
      </c>
      <c r="BA37" s="733">
        <v>4678.74</v>
      </c>
      <c r="BB37" s="736">
        <f aca="true" t="shared" si="38" ref="BB37:BB61">BA37/$BA$35</f>
        <v>0.005362542210446515</v>
      </c>
      <c r="BC37" s="733">
        <v>1054.68</v>
      </c>
      <c r="BD37" s="736">
        <f aca="true" t="shared" si="39" ref="BD37:BD61">BC37/$BC$35</f>
        <v>0.02933024980269075</v>
      </c>
      <c r="BE37" s="733">
        <f aca="true" t="shared" si="40" ref="BE37:BE61">AY37+BA37+BC37</f>
        <v>20232.72</v>
      </c>
      <c r="BF37" s="735">
        <f aca="true" t="shared" si="41" ref="BF37:BF61">BE37/$BE$35</f>
        <v>0.012541432301102084</v>
      </c>
      <c r="BH37" s="720"/>
    </row>
    <row r="38" spans="1:60" ht="11.25" customHeight="1">
      <c r="A38" s="681">
        <v>13000</v>
      </c>
      <c r="B38" s="682" t="s">
        <v>123</v>
      </c>
      <c r="E38" s="718"/>
      <c r="G38" s="718"/>
      <c r="H38" s="635"/>
      <c r="I38" s="635"/>
      <c r="J38" s="635"/>
      <c r="K38" s="718"/>
      <c r="L38" s="635"/>
      <c r="M38" s="635"/>
      <c r="N38" s="635"/>
      <c r="O38" s="635"/>
      <c r="P38" s="635"/>
      <c r="Q38" s="635"/>
      <c r="R38" s="731">
        <v>1901.4287282242233</v>
      </c>
      <c r="S38" s="736">
        <f t="shared" si="17"/>
        <v>0.033268891993677115</v>
      </c>
      <c r="T38" s="733">
        <v>680.5886375103966</v>
      </c>
      <c r="U38" s="736">
        <f t="shared" si="18"/>
        <v>0.02114637139947258</v>
      </c>
      <c r="V38" s="733">
        <v>17.1</v>
      </c>
      <c r="W38" s="736">
        <f t="shared" si="19"/>
        <v>0.0027660780513583064</v>
      </c>
      <c r="X38" s="734">
        <f t="shared" si="20"/>
        <v>2599.11736573462</v>
      </c>
      <c r="Y38" s="735">
        <f t="shared" si="21"/>
        <v>0.02721017744389692</v>
      </c>
      <c r="AA38" s="731">
        <v>168</v>
      </c>
      <c r="AB38" s="736">
        <f t="shared" si="22"/>
        <v>0.010286554004408524</v>
      </c>
      <c r="AC38" s="733">
        <v>37</v>
      </c>
      <c r="AD38" s="736">
        <f t="shared" si="23"/>
        <v>0.0035728080339899573</v>
      </c>
      <c r="AE38" s="733">
        <v>8</v>
      </c>
      <c r="AF38" s="736">
        <f t="shared" si="24"/>
        <v>0.00237741456166419</v>
      </c>
      <c r="AG38" s="733">
        <f t="shared" si="25"/>
        <v>213</v>
      </c>
      <c r="AH38" s="737">
        <f t="shared" si="26"/>
        <v>0.00708747878747546</v>
      </c>
      <c r="AI38" s="738"/>
      <c r="AJ38" s="736">
        <f t="shared" si="27"/>
        <v>0</v>
      </c>
      <c r="AK38" s="733">
        <v>7</v>
      </c>
      <c r="AL38" s="736">
        <f t="shared" si="28"/>
        <v>0.0017852588625350675</v>
      </c>
      <c r="AM38" s="733">
        <v>1</v>
      </c>
      <c r="AN38" s="736">
        <f t="shared" si="29"/>
        <v>0.004608294930875576</v>
      </c>
      <c r="AO38" s="733">
        <f t="shared" si="30"/>
        <v>8</v>
      </c>
      <c r="AP38" s="737">
        <f t="shared" si="31"/>
        <v>0.0017119623368285898</v>
      </c>
      <c r="AQ38" s="738">
        <v>32372.760000000002</v>
      </c>
      <c r="AR38" s="736">
        <f t="shared" si="32"/>
        <v>0.07087050944874891</v>
      </c>
      <c r="AS38" s="733">
        <v>17259.420000000002</v>
      </c>
      <c r="AT38" s="736">
        <f t="shared" si="33"/>
        <v>0.018246674188721484</v>
      </c>
      <c r="AU38" s="733">
        <v>63.24</v>
      </c>
      <c r="AV38" s="736">
        <f t="shared" si="34"/>
        <v>0.0005165641134970753</v>
      </c>
      <c r="AW38" s="733">
        <f t="shared" si="35"/>
        <v>49695.420000000006</v>
      </c>
      <c r="AX38" s="737">
        <f t="shared" si="36"/>
        <v>0.032584900438840395</v>
      </c>
      <c r="AY38" s="739">
        <v>12559.26</v>
      </c>
      <c r="AZ38" s="736">
        <f t="shared" si="37"/>
        <v>0.01781894954338096</v>
      </c>
      <c r="BA38" s="733">
        <v>2801.94</v>
      </c>
      <c r="BB38" s="736">
        <f t="shared" si="38"/>
        <v>0.0032114461417258725</v>
      </c>
      <c r="BC38" s="733">
        <v>0</v>
      </c>
      <c r="BD38" s="736">
        <f t="shared" si="39"/>
        <v>0</v>
      </c>
      <c r="BE38" s="733">
        <f t="shared" si="40"/>
        <v>15361.2</v>
      </c>
      <c r="BF38" s="735">
        <f t="shared" si="41"/>
        <v>0.009521777094908116</v>
      </c>
      <c r="BH38" s="720"/>
    </row>
    <row r="39" spans="1:60" ht="11.25" customHeight="1">
      <c r="A39" s="681">
        <v>14000</v>
      </c>
      <c r="B39" s="682" t="s">
        <v>106</v>
      </c>
      <c r="E39" s="718"/>
      <c r="G39" s="718"/>
      <c r="H39" s="635"/>
      <c r="I39" s="635"/>
      <c r="J39" s="635"/>
      <c r="K39" s="718"/>
      <c r="L39" s="635"/>
      <c r="M39" s="635"/>
      <c r="N39" s="635"/>
      <c r="O39" s="635"/>
      <c r="P39" s="635"/>
      <c r="Q39" s="635"/>
      <c r="R39" s="731">
        <v>5167.111773878021</v>
      </c>
      <c r="S39" s="736">
        <f t="shared" si="17"/>
        <v>0.09040785014590025</v>
      </c>
      <c r="T39" s="733">
        <v>3964.9786120216827</v>
      </c>
      <c r="U39" s="736">
        <f t="shared" si="18"/>
        <v>0.12319469603177882</v>
      </c>
      <c r="V39" s="733">
        <v>780.3497332994175</v>
      </c>
      <c r="W39" s="736">
        <f t="shared" si="19"/>
        <v>0.12622855378145184</v>
      </c>
      <c r="X39" s="734">
        <f t="shared" si="20"/>
        <v>9912.440119199122</v>
      </c>
      <c r="Y39" s="735">
        <f t="shared" si="21"/>
        <v>0.10377340327191299</v>
      </c>
      <c r="AA39" s="731">
        <v>3112</v>
      </c>
      <c r="AB39" s="736">
        <f t="shared" si="22"/>
        <v>0.1905461670340436</v>
      </c>
      <c r="AC39" s="733">
        <v>2696</v>
      </c>
      <c r="AD39" s="736">
        <f t="shared" si="23"/>
        <v>0.26033217458478175</v>
      </c>
      <c r="AE39" s="733">
        <v>592</v>
      </c>
      <c r="AF39" s="736">
        <f t="shared" si="24"/>
        <v>0.1759286775631501</v>
      </c>
      <c r="AG39" s="733">
        <f t="shared" si="25"/>
        <v>6400</v>
      </c>
      <c r="AH39" s="737">
        <f t="shared" si="26"/>
        <v>0.21295710910724386</v>
      </c>
      <c r="AI39" s="738">
        <v>3</v>
      </c>
      <c r="AJ39" s="736">
        <f t="shared" si="27"/>
        <v>0.005607476635514018</v>
      </c>
      <c r="AK39" s="733">
        <v>600</v>
      </c>
      <c r="AL39" s="736">
        <f t="shared" si="28"/>
        <v>0.1530221882172915</v>
      </c>
      <c r="AM39" s="733">
        <v>25</v>
      </c>
      <c r="AN39" s="736">
        <f t="shared" si="29"/>
        <v>0.1152073732718894</v>
      </c>
      <c r="AO39" s="733">
        <f t="shared" si="30"/>
        <v>628</v>
      </c>
      <c r="AP39" s="737">
        <f t="shared" si="31"/>
        <v>0.1343890434410443</v>
      </c>
      <c r="AQ39" s="738">
        <v>92993.21999999999</v>
      </c>
      <c r="AR39" s="736">
        <f t="shared" si="32"/>
        <v>0.20358093893383153</v>
      </c>
      <c r="AS39" s="733">
        <v>176949.65999999997</v>
      </c>
      <c r="AT39" s="736">
        <f t="shared" si="33"/>
        <v>0.18707133807654264</v>
      </c>
      <c r="AU39" s="733">
        <v>32578.92</v>
      </c>
      <c r="AV39" s="736">
        <f t="shared" si="34"/>
        <v>0.2661148154410521</v>
      </c>
      <c r="AW39" s="733">
        <f t="shared" si="35"/>
        <v>302521.79999999993</v>
      </c>
      <c r="AX39" s="737">
        <f t="shared" si="36"/>
        <v>0.19836119170697786</v>
      </c>
      <c r="AY39" s="739">
        <v>2305.0800000000004</v>
      </c>
      <c r="AZ39" s="736">
        <f t="shared" si="37"/>
        <v>0.0032704239113973744</v>
      </c>
      <c r="BA39" s="733">
        <v>278745.96</v>
      </c>
      <c r="BB39" s="736">
        <f t="shared" si="38"/>
        <v>0.3194849417773665</v>
      </c>
      <c r="BC39" s="733">
        <v>1320.1200000000001</v>
      </c>
      <c r="BD39" s="736">
        <f t="shared" si="39"/>
        <v>0.03671203528039606</v>
      </c>
      <c r="BE39" s="733">
        <f t="shared" si="40"/>
        <v>282371.16000000003</v>
      </c>
      <c r="BF39" s="735">
        <f t="shared" si="41"/>
        <v>0.17503028692749492</v>
      </c>
      <c r="BH39" s="720"/>
    </row>
    <row r="40" spans="1:60" ht="11.25" customHeight="1">
      <c r="A40" s="681">
        <v>15000</v>
      </c>
      <c r="B40" s="682" t="s">
        <v>124</v>
      </c>
      <c r="E40" s="718"/>
      <c r="G40" s="718"/>
      <c r="H40" s="635"/>
      <c r="I40" s="635"/>
      <c r="J40" s="635"/>
      <c r="K40" s="718"/>
      <c r="L40" s="635"/>
      <c r="M40" s="635"/>
      <c r="N40" s="635"/>
      <c r="O40" s="635"/>
      <c r="P40" s="635"/>
      <c r="Q40" s="635"/>
      <c r="R40" s="731">
        <v>3307.1585464354844</v>
      </c>
      <c r="S40" s="736">
        <f t="shared" si="17"/>
        <v>0.05786464612327753</v>
      </c>
      <c r="T40" s="733">
        <v>2412.273291357566</v>
      </c>
      <c r="U40" s="736">
        <f t="shared" si="18"/>
        <v>0.07495104109094973</v>
      </c>
      <c r="V40" s="733">
        <v>412.20794008886793</v>
      </c>
      <c r="W40" s="736">
        <f t="shared" si="19"/>
        <v>0.06667832372370977</v>
      </c>
      <c r="X40" s="734">
        <f t="shared" si="20"/>
        <v>6131.639777881918</v>
      </c>
      <c r="Y40" s="735">
        <f t="shared" si="21"/>
        <v>0.0641921786902712</v>
      </c>
      <c r="AA40" s="731">
        <v>393</v>
      </c>
      <c r="AB40" s="736">
        <f t="shared" si="22"/>
        <v>0.024063188831741366</v>
      </c>
      <c r="AC40" s="733">
        <v>621</v>
      </c>
      <c r="AD40" s="736">
        <f t="shared" si="23"/>
        <v>0.05996523754345307</v>
      </c>
      <c r="AE40" s="733">
        <v>197</v>
      </c>
      <c r="AF40" s="736">
        <f t="shared" si="24"/>
        <v>0.058543833580980684</v>
      </c>
      <c r="AG40" s="733">
        <f t="shared" si="25"/>
        <v>1211</v>
      </c>
      <c r="AH40" s="737">
        <f t="shared" si="26"/>
        <v>0.0402954779888863</v>
      </c>
      <c r="AI40" s="738"/>
      <c r="AJ40" s="736">
        <f t="shared" si="27"/>
        <v>0</v>
      </c>
      <c r="AK40" s="733">
        <v>314</v>
      </c>
      <c r="AL40" s="736">
        <f t="shared" si="28"/>
        <v>0.08008161183371588</v>
      </c>
      <c r="AM40" s="733">
        <v>17</v>
      </c>
      <c r="AN40" s="736">
        <f t="shared" si="29"/>
        <v>0.07834101382488479</v>
      </c>
      <c r="AO40" s="733">
        <f t="shared" si="30"/>
        <v>331</v>
      </c>
      <c r="AP40" s="737">
        <f t="shared" si="31"/>
        <v>0.0708324416862829</v>
      </c>
      <c r="AQ40" s="738">
        <v>44701.5</v>
      </c>
      <c r="AR40" s="736">
        <f t="shared" si="32"/>
        <v>0.09786061114725</v>
      </c>
      <c r="AS40" s="733">
        <v>56481.48</v>
      </c>
      <c r="AT40" s="736">
        <f t="shared" si="33"/>
        <v>0.059712270937076026</v>
      </c>
      <c r="AU40" s="733">
        <v>7612.26</v>
      </c>
      <c r="AV40" s="736">
        <f t="shared" si="34"/>
        <v>0.06217932224239795</v>
      </c>
      <c r="AW40" s="733">
        <f t="shared" si="35"/>
        <v>108795.24</v>
      </c>
      <c r="AX40" s="737">
        <f t="shared" si="36"/>
        <v>0.07133619282460528</v>
      </c>
      <c r="AY40" s="739">
        <v>33242.82</v>
      </c>
      <c r="AZ40" s="736">
        <f t="shared" si="37"/>
        <v>0.04716457277416786</v>
      </c>
      <c r="BA40" s="733">
        <v>22826.58</v>
      </c>
      <c r="BB40" s="736">
        <f t="shared" si="38"/>
        <v>0.02616270593581482</v>
      </c>
      <c r="BC40" s="733">
        <v>1822.74</v>
      </c>
      <c r="BD40" s="736">
        <f t="shared" si="39"/>
        <v>0.05068970638047231</v>
      </c>
      <c r="BE40" s="733">
        <f t="shared" si="40"/>
        <v>57892.14</v>
      </c>
      <c r="BF40" s="735">
        <f t="shared" si="41"/>
        <v>0.03588496033039176</v>
      </c>
      <c r="BH40" s="720"/>
    </row>
    <row r="41" spans="1:60" ht="11.25" customHeight="1">
      <c r="A41" s="681">
        <v>16000</v>
      </c>
      <c r="B41" s="682" t="s">
        <v>40</v>
      </c>
      <c r="E41" s="718"/>
      <c r="G41" s="718"/>
      <c r="H41" s="635"/>
      <c r="I41" s="635"/>
      <c r="J41" s="635"/>
      <c r="K41" s="718"/>
      <c r="L41" s="635"/>
      <c r="M41" s="635"/>
      <c r="N41" s="635"/>
      <c r="O41" s="635"/>
      <c r="P41" s="635"/>
      <c r="Q41" s="635"/>
      <c r="R41" s="731">
        <v>214.08564836839392</v>
      </c>
      <c r="S41" s="736">
        <f t="shared" si="17"/>
        <v>0.0037458108249033128</v>
      </c>
      <c r="T41" s="733">
        <v>1367.0312420457185</v>
      </c>
      <c r="U41" s="736">
        <f t="shared" si="18"/>
        <v>0.04247462970396633</v>
      </c>
      <c r="V41" s="733">
        <v>231</v>
      </c>
      <c r="W41" s="736">
        <f t="shared" si="19"/>
        <v>0.03736631753589291</v>
      </c>
      <c r="X41" s="734">
        <f t="shared" si="20"/>
        <v>1812.1168904141125</v>
      </c>
      <c r="Y41" s="735">
        <f t="shared" si="21"/>
        <v>0.018971064095566224</v>
      </c>
      <c r="AA41" s="731">
        <v>34</v>
      </c>
      <c r="AB41" s="736">
        <f t="shared" si="22"/>
        <v>0.0020818025961302964</v>
      </c>
      <c r="AC41" s="733">
        <v>349</v>
      </c>
      <c r="AD41" s="736">
        <f t="shared" si="23"/>
        <v>0.033700270374662035</v>
      </c>
      <c r="AE41" s="733">
        <v>37</v>
      </c>
      <c r="AF41" s="736">
        <f t="shared" si="24"/>
        <v>0.01099554234769688</v>
      </c>
      <c r="AG41" s="733">
        <f t="shared" si="25"/>
        <v>420</v>
      </c>
      <c r="AH41" s="737">
        <f t="shared" si="26"/>
        <v>0.013975310285162879</v>
      </c>
      <c r="AI41" s="738"/>
      <c r="AJ41" s="736">
        <f t="shared" si="27"/>
        <v>0</v>
      </c>
      <c r="AK41" s="733">
        <v>283</v>
      </c>
      <c r="AL41" s="736">
        <f t="shared" si="28"/>
        <v>0.07217546544248916</v>
      </c>
      <c r="AM41" s="733"/>
      <c r="AN41" s="736">
        <f t="shared" si="29"/>
        <v>0</v>
      </c>
      <c r="AO41" s="733">
        <f t="shared" si="30"/>
        <v>283</v>
      </c>
      <c r="AP41" s="737">
        <f t="shared" si="31"/>
        <v>0.06056066766531136</v>
      </c>
      <c r="AQ41" s="738">
        <v>0</v>
      </c>
      <c r="AR41" s="736">
        <f t="shared" si="32"/>
        <v>0</v>
      </c>
      <c r="AS41" s="733">
        <v>4973.52</v>
      </c>
      <c r="AT41" s="736">
        <f t="shared" si="33"/>
        <v>0.005258009771538677</v>
      </c>
      <c r="AU41" s="733">
        <v>467.16</v>
      </c>
      <c r="AV41" s="736">
        <f t="shared" si="34"/>
        <v>0.003815909096478395</v>
      </c>
      <c r="AW41" s="733">
        <f t="shared" si="35"/>
        <v>5440.68</v>
      </c>
      <c r="AX41" s="737">
        <f t="shared" si="36"/>
        <v>0.0035674115666914606</v>
      </c>
      <c r="AY41" s="739">
        <v>0</v>
      </c>
      <c r="AZ41" s="736">
        <f t="shared" si="37"/>
        <v>0</v>
      </c>
      <c r="BA41" s="733">
        <v>14670.66</v>
      </c>
      <c r="BB41" s="736">
        <f t="shared" si="38"/>
        <v>0.016814790628483154</v>
      </c>
      <c r="BC41" s="733">
        <v>257.04</v>
      </c>
      <c r="BD41" s="736">
        <f t="shared" si="39"/>
        <v>0.00714818467144881</v>
      </c>
      <c r="BE41" s="733">
        <f t="shared" si="40"/>
        <v>14927.7</v>
      </c>
      <c r="BF41" s="735">
        <f t="shared" si="41"/>
        <v>0.009253068245948225</v>
      </c>
      <c r="BH41" s="720"/>
    </row>
    <row r="42" spans="1:60" ht="11.25" customHeight="1">
      <c r="A42" s="681">
        <v>17000</v>
      </c>
      <c r="B42" s="682" t="s">
        <v>125</v>
      </c>
      <c r="E42" s="718"/>
      <c r="G42" s="718"/>
      <c r="H42" s="635"/>
      <c r="I42" s="635"/>
      <c r="J42" s="635"/>
      <c r="K42" s="718"/>
      <c r="L42" s="635"/>
      <c r="M42" s="635"/>
      <c r="N42" s="635"/>
      <c r="O42" s="635"/>
      <c r="P42" s="635"/>
      <c r="Q42" s="635"/>
      <c r="R42" s="731">
        <v>2320.7236553230155</v>
      </c>
      <c r="S42" s="736">
        <f t="shared" si="17"/>
        <v>0.04060520570140893</v>
      </c>
      <c r="T42" s="733">
        <v>869.9081598581852</v>
      </c>
      <c r="U42" s="736">
        <f t="shared" si="18"/>
        <v>0.027028663157062982</v>
      </c>
      <c r="V42" s="733">
        <v>61.0963259969797</v>
      </c>
      <c r="W42" s="736">
        <f t="shared" si="19"/>
        <v>0.009882877564846633</v>
      </c>
      <c r="X42" s="734">
        <f t="shared" si="20"/>
        <v>3251.7281411781805</v>
      </c>
      <c r="Y42" s="735">
        <f t="shared" si="21"/>
        <v>0.03404236410684871</v>
      </c>
      <c r="AA42" s="731">
        <v>220</v>
      </c>
      <c r="AB42" s="736">
        <f t="shared" si="22"/>
        <v>0.013470487386725447</v>
      </c>
      <c r="AC42" s="733">
        <v>139</v>
      </c>
      <c r="AD42" s="736">
        <f t="shared" si="23"/>
        <v>0.013422170722286597</v>
      </c>
      <c r="AE42" s="733">
        <v>45</v>
      </c>
      <c r="AF42" s="736">
        <f t="shared" si="24"/>
        <v>0.01337295690936107</v>
      </c>
      <c r="AG42" s="733">
        <f t="shared" si="25"/>
        <v>404</v>
      </c>
      <c r="AH42" s="737">
        <f t="shared" si="26"/>
        <v>0.01344291751239477</v>
      </c>
      <c r="AI42" s="738">
        <v>115</v>
      </c>
      <c r="AJ42" s="736">
        <f t="shared" si="27"/>
        <v>0.21495327102803738</v>
      </c>
      <c r="AK42" s="733">
        <v>0</v>
      </c>
      <c r="AL42" s="736">
        <f t="shared" si="28"/>
        <v>0</v>
      </c>
      <c r="AM42" s="733">
        <v>1</v>
      </c>
      <c r="AN42" s="736">
        <f t="shared" si="29"/>
        <v>0.004608294930875576</v>
      </c>
      <c r="AO42" s="733">
        <f t="shared" si="30"/>
        <v>116</v>
      </c>
      <c r="AP42" s="737">
        <f t="shared" si="31"/>
        <v>0.02482345388401455</v>
      </c>
      <c r="AQ42" s="738">
        <v>24975.12</v>
      </c>
      <c r="AR42" s="736">
        <f t="shared" si="32"/>
        <v>0.05467558150567445</v>
      </c>
      <c r="AS42" s="733">
        <v>21348.78</v>
      </c>
      <c r="AT42" s="736">
        <f t="shared" si="33"/>
        <v>0.02256994922116116</v>
      </c>
      <c r="AU42" s="733">
        <v>2740.56</v>
      </c>
      <c r="AV42" s="736">
        <f t="shared" si="34"/>
        <v>0.022385751848285017</v>
      </c>
      <c r="AW42" s="733">
        <f t="shared" si="35"/>
        <v>49064.45999999999</v>
      </c>
      <c r="AX42" s="737">
        <f t="shared" si="36"/>
        <v>0.03217118487348465</v>
      </c>
      <c r="AY42" s="739">
        <v>21202.859999999997</v>
      </c>
      <c r="AZ42" s="736">
        <f t="shared" si="37"/>
        <v>0.03008240075572688</v>
      </c>
      <c r="BA42" s="733">
        <v>9456.3</v>
      </c>
      <c r="BB42" s="736">
        <f t="shared" si="38"/>
        <v>0.010838347055969208</v>
      </c>
      <c r="BC42" s="733">
        <v>811.68</v>
      </c>
      <c r="BD42" s="736">
        <f t="shared" si="39"/>
        <v>0.022572512193127798</v>
      </c>
      <c r="BE42" s="733">
        <f t="shared" si="40"/>
        <v>31470.839999999997</v>
      </c>
      <c r="BF42" s="735">
        <f t="shared" si="41"/>
        <v>0.019507481412228085</v>
      </c>
      <c r="BH42" s="720"/>
    </row>
    <row r="43" spans="1:60" ht="11.25" customHeight="1">
      <c r="A43" s="681">
        <v>18000</v>
      </c>
      <c r="B43" s="682" t="s">
        <v>126</v>
      </c>
      <c r="E43" s="718"/>
      <c r="G43" s="718"/>
      <c r="H43" s="635"/>
      <c r="I43" s="635"/>
      <c r="J43" s="635"/>
      <c r="K43" s="718"/>
      <c r="L43" s="635"/>
      <c r="M43" s="635"/>
      <c r="N43" s="635"/>
      <c r="O43" s="635"/>
      <c r="P43" s="635"/>
      <c r="Q43" s="635"/>
      <c r="R43" s="731">
        <v>1622.315996156331</v>
      </c>
      <c r="S43" s="736">
        <f t="shared" si="17"/>
        <v>0.028385316185974355</v>
      </c>
      <c r="T43" s="733">
        <v>750.1781669115096</v>
      </c>
      <c r="U43" s="736">
        <f t="shared" si="18"/>
        <v>0.0233085674061727</v>
      </c>
      <c r="V43" s="733">
        <v>12.502055006173027</v>
      </c>
      <c r="W43" s="736">
        <f t="shared" si="19"/>
        <v>0.002022319295289441</v>
      </c>
      <c r="X43" s="734">
        <f t="shared" si="20"/>
        <v>2384.9962180740135</v>
      </c>
      <c r="Y43" s="735">
        <f t="shared" si="21"/>
        <v>0.024968541687410334</v>
      </c>
      <c r="AA43" s="731">
        <v>81</v>
      </c>
      <c r="AB43" s="736">
        <f t="shared" si="22"/>
        <v>0.004959588537839824</v>
      </c>
      <c r="AC43" s="733">
        <v>27</v>
      </c>
      <c r="AD43" s="736">
        <f t="shared" si="23"/>
        <v>0.002607184241019699</v>
      </c>
      <c r="AE43" s="733">
        <v>6</v>
      </c>
      <c r="AF43" s="736">
        <f t="shared" si="24"/>
        <v>0.0017830609212481426</v>
      </c>
      <c r="AG43" s="733">
        <f t="shared" si="25"/>
        <v>114</v>
      </c>
      <c r="AH43" s="737">
        <f t="shared" si="26"/>
        <v>0.0037932985059727815</v>
      </c>
      <c r="AI43" s="738">
        <v>1</v>
      </c>
      <c r="AJ43" s="736">
        <f t="shared" si="27"/>
        <v>0.001869158878504673</v>
      </c>
      <c r="AK43" s="733">
        <v>3</v>
      </c>
      <c r="AL43" s="736">
        <f t="shared" si="28"/>
        <v>0.0007651109410864575</v>
      </c>
      <c r="AM43" s="733">
        <v>2</v>
      </c>
      <c r="AN43" s="736">
        <f t="shared" si="29"/>
        <v>0.009216589861751152</v>
      </c>
      <c r="AO43" s="733">
        <f t="shared" si="30"/>
        <v>6</v>
      </c>
      <c r="AP43" s="737">
        <f t="shared" si="31"/>
        <v>0.0012839717526214422</v>
      </c>
      <c r="AQ43" s="738">
        <v>21418.98</v>
      </c>
      <c r="AR43" s="736">
        <f t="shared" si="32"/>
        <v>0.0468904728689356</v>
      </c>
      <c r="AS43" s="733">
        <v>13415.04</v>
      </c>
      <c r="AT43" s="736">
        <f t="shared" si="33"/>
        <v>0.014182392230368475</v>
      </c>
      <c r="AU43" s="733">
        <v>648.72</v>
      </c>
      <c r="AV43" s="736">
        <f t="shared" si="34"/>
        <v>0.005298948002969998</v>
      </c>
      <c r="AW43" s="733">
        <f t="shared" si="35"/>
        <v>35482.740000000005</v>
      </c>
      <c r="AX43" s="737">
        <f t="shared" si="36"/>
        <v>0.02326575668738205</v>
      </c>
      <c r="AY43" s="739">
        <v>17770.44</v>
      </c>
      <c r="AZ43" s="736">
        <f t="shared" si="37"/>
        <v>0.025212518390707633</v>
      </c>
      <c r="BA43" s="733">
        <v>1856.4</v>
      </c>
      <c r="BB43" s="736">
        <f t="shared" si="38"/>
        <v>0.0021277145897128096</v>
      </c>
      <c r="BC43" s="733">
        <v>214.20000000000002</v>
      </c>
      <c r="BD43" s="736">
        <f t="shared" si="39"/>
        <v>0.005956820559540675</v>
      </c>
      <c r="BE43" s="733">
        <f t="shared" si="40"/>
        <v>19841.04</v>
      </c>
      <c r="BF43" s="735">
        <f t="shared" si="41"/>
        <v>0.012298645952865382</v>
      </c>
      <c r="BH43" s="720"/>
    </row>
    <row r="44" spans="1:60" ht="11.25" customHeight="1">
      <c r="A44" s="681">
        <v>19000</v>
      </c>
      <c r="B44" s="682" t="s">
        <v>127</v>
      </c>
      <c r="E44" s="718"/>
      <c r="G44" s="718"/>
      <c r="H44" s="635"/>
      <c r="I44" s="635"/>
      <c r="J44" s="635"/>
      <c r="K44" s="718"/>
      <c r="L44" s="635"/>
      <c r="M44" s="635"/>
      <c r="N44" s="635"/>
      <c r="O44" s="635"/>
      <c r="P44" s="635"/>
      <c r="Q44" s="635"/>
      <c r="R44" s="731">
        <v>1681.4951493613285</v>
      </c>
      <c r="S44" s="736">
        <f t="shared" si="17"/>
        <v>0.029420761179010223</v>
      </c>
      <c r="T44" s="733">
        <v>290.66398690528837</v>
      </c>
      <c r="U44" s="736">
        <f t="shared" si="18"/>
        <v>0.009031136108934482</v>
      </c>
      <c r="V44" s="733">
        <v>38.69477020893762</v>
      </c>
      <c r="W44" s="736">
        <f t="shared" si="19"/>
        <v>0.0062592254138769355</v>
      </c>
      <c r="X44" s="734">
        <f t="shared" si="20"/>
        <v>2010.8539064755544</v>
      </c>
      <c r="Y44" s="735">
        <f t="shared" si="21"/>
        <v>0.021051643273326436</v>
      </c>
      <c r="AA44" s="731">
        <v>358</v>
      </c>
      <c r="AB44" s="736">
        <f t="shared" si="22"/>
        <v>0.02192015674748959</v>
      </c>
      <c r="AC44" s="733">
        <v>151</v>
      </c>
      <c r="AD44" s="736">
        <f t="shared" si="23"/>
        <v>0.014580919273850908</v>
      </c>
      <c r="AE44" s="733">
        <v>24</v>
      </c>
      <c r="AF44" s="736">
        <f t="shared" si="24"/>
        <v>0.00713224368499257</v>
      </c>
      <c r="AG44" s="733">
        <f t="shared" si="25"/>
        <v>533</v>
      </c>
      <c r="AH44" s="737">
        <f t="shared" si="26"/>
        <v>0.017735334242837655</v>
      </c>
      <c r="AI44" s="738">
        <v>0</v>
      </c>
      <c r="AJ44" s="736">
        <f t="shared" si="27"/>
        <v>0</v>
      </c>
      <c r="AK44" s="733">
        <v>0</v>
      </c>
      <c r="AL44" s="736">
        <f t="shared" si="28"/>
        <v>0</v>
      </c>
      <c r="AM44" s="733">
        <v>0</v>
      </c>
      <c r="AN44" s="736">
        <f t="shared" si="29"/>
        <v>0</v>
      </c>
      <c r="AO44" s="733">
        <f t="shared" si="30"/>
        <v>0</v>
      </c>
      <c r="AP44" s="737">
        <f t="shared" si="31"/>
        <v>0</v>
      </c>
      <c r="AQ44" s="738">
        <v>13183.5</v>
      </c>
      <c r="AR44" s="736">
        <f t="shared" si="32"/>
        <v>0.028861343960712067</v>
      </c>
      <c r="AS44" s="733">
        <v>9284.04</v>
      </c>
      <c r="AT44" s="736">
        <f t="shared" si="33"/>
        <v>0.009815095352859935</v>
      </c>
      <c r="AU44" s="733">
        <v>1058.76</v>
      </c>
      <c r="AV44" s="736">
        <f t="shared" si="34"/>
        <v>0.008648283061451035</v>
      </c>
      <c r="AW44" s="733">
        <f t="shared" si="35"/>
        <v>23526.3</v>
      </c>
      <c r="AX44" s="737">
        <f t="shared" si="36"/>
        <v>0.015426011958331183</v>
      </c>
      <c r="AY44" s="739">
        <v>5331.54</v>
      </c>
      <c r="AZ44" s="736">
        <f t="shared" si="37"/>
        <v>0.007564334383436391</v>
      </c>
      <c r="BA44" s="733">
        <v>0</v>
      </c>
      <c r="BB44" s="736">
        <f t="shared" si="38"/>
        <v>0</v>
      </c>
      <c r="BC44" s="733">
        <v>456.96000000000004</v>
      </c>
      <c r="BD44" s="736">
        <f t="shared" si="39"/>
        <v>0.01270788386035344</v>
      </c>
      <c r="BE44" s="733">
        <f t="shared" si="40"/>
        <v>5788.5</v>
      </c>
      <c r="BF44" s="735">
        <f t="shared" si="41"/>
        <v>0.0035880534537585363</v>
      </c>
      <c r="BH44" s="720"/>
    </row>
    <row r="45" spans="1:60" ht="11.25" customHeight="1">
      <c r="A45" s="681">
        <v>21000</v>
      </c>
      <c r="B45" s="682" t="s">
        <v>128</v>
      </c>
      <c r="E45" s="718"/>
      <c r="G45" s="718"/>
      <c r="H45" s="635"/>
      <c r="I45" s="635"/>
      <c r="J45" s="635"/>
      <c r="K45" s="718"/>
      <c r="L45" s="635"/>
      <c r="M45" s="635"/>
      <c r="N45" s="635"/>
      <c r="O45" s="635"/>
      <c r="P45" s="635"/>
      <c r="Q45" s="635"/>
      <c r="R45" s="731">
        <v>4604.829918375301</v>
      </c>
      <c r="S45" s="736">
        <f t="shared" si="17"/>
        <v>0.08056972471787292</v>
      </c>
      <c r="T45" s="733">
        <v>1788.5589815491958</v>
      </c>
      <c r="U45" s="736">
        <f t="shared" si="18"/>
        <v>0.055571795368276285</v>
      </c>
      <c r="V45" s="733">
        <v>398.3477980272059</v>
      </c>
      <c r="W45" s="736">
        <f t="shared" si="19"/>
        <v>0.06443632169181086</v>
      </c>
      <c r="X45" s="734">
        <f t="shared" si="20"/>
        <v>6791.736697951702</v>
      </c>
      <c r="Y45" s="735">
        <f t="shared" si="21"/>
        <v>0.07110273785241664</v>
      </c>
      <c r="AA45" s="731">
        <v>1610</v>
      </c>
      <c r="AB45" s="736">
        <f t="shared" si="22"/>
        <v>0.09857947587558168</v>
      </c>
      <c r="AC45" s="733">
        <v>435</v>
      </c>
      <c r="AD45" s="736">
        <f t="shared" si="23"/>
        <v>0.04200463499420626</v>
      </c>
      <c r="AE45" s="733">
        <v>217</v>
      </c>
      <c r="AF45" s="736">
        <f t="shared" si="24"/>
        <v>0.06448736998514117</v>
      </c>
      <c r="AG45" s="733">
        <f t="shared" si="25"/>
        <v>2262</v>
      </c>
      <c r="AH45" s="737">
        <f t="shared" si="26"/>
        <v>0.0752670282500915</v>
      </c>
      <c r="AI45" s="738">
        <v>72</v>
      </c>
      <c r="AJ45" s="736">
        <f t="shared" si="27"/>
        <v>0.13457943925233645</v>
      </c>
      <c r="AK45" s="733">
        <v>113</v>
      </c>
      <c r="AL45" s="736">
        <f t="shared" si="28"/>
        <v>0.028819178780923233</v>
      </c>
      <c r="AM45" s="733">
        <v>15</v>
      </c>
      <c r="AN45" s="736">
        <f t="shared" si="29"/>
        <v>0.06912442396313365</v>
      </c>
      <c r="AO45" s="733">
        <f t="shared" si="30"/>
        <v>200</v>
      </c>
      <c r="AP45" s="737">
        <f t="shared" si="31"/>
        <v>0.04279905842071474</v>
      </c>
      <c r="AQ45" s="738">
        <v>12308.34</v>
      </c>
      <c r="AR45" s="736">
        <f t="shared" si="32"/>
        <v>0.026945441978639264</v>
      </c>
      <c r="AS45" s="733">
        <v>64214.1</v>
      </c>
      <c r="AT45" s="736">
        <f t="shared" si="33"/>
        <v>0.06788720368482719</v>
      </c>
      <c r="AU45" s="733">
        <v>10031.7</v>
      </c>
      <c r="AV45" s="736">
        <f t="shared" si="34"/>
        <v>0.08194206542328605</v>
      </c>
      <c r="AW45" s="733">
        <f t="shared" si="35"/>
        <v>86554.14</v>
      </c>
      <c r="AX45" s="737">
        <f t="shared" si="36"/>
        <v>0.05675287651194924</v>
      </c>
      <c r="AY45" s="739">
        <v>79218.3</v>
      </c>
      <c r="AZ45" s="736">
        <f t="shared" si="37"/>
        <v>0.1123941132369595</v>
      </c>
      <c r="BA45" s="733">
        <v>76998.78</v>
      </c>
      <c r="BB45" s="736">
        <f t="shared" si="38"/>
        <v>0.08825222344111554</v>
      </c>
      <c r="BC45" s="733">
        <v>5368.26</v>
      </c>
      <c r="BD45" s="736">
        <f t="shared" si="39"/>
        <v>0.14928926954696461</v>
      </c>
      <c r="BE45" s="733">
        <f t="shared" si="40"/>
        <v>161585.34000000003</v>
      </c>
      <c r="BF45" s="735">
        <f t="shared" si="41"/>
        <v>0.10016011700159755</v>
      </c>
      <c r="BH45" s="720"/>
    </row>
    <row r="46" spans="1:60" ht="11.25" customHeight="1">
      <c r="A46" s="681">
        <v>22000</v>
      </c>
      <c r="B46" s="682" t="s">
        <v>46</v>
      </c>
      <c r="E46" s="718"/>
      <c r="G46" s="718"/>
      <c r="H46" s="635"/>
      <c r="I46" s="635"/>
      <c r="J46" s="635"/>
      <c r="K46" s="718"/>
      <c r="L46" s="635"/>
      <c r="M46" s="635"/>
      <c r="N46" s="635"/>
      <c r="O46" s="635"/>
      <c r="P46" s="635"/>
      <c r="Q46" s="635"/>
      <c r="R46" s="731">
        <v>943.167702664135</v>
      </c>
      <c r="S46" s="736">
        <f t="shared" si="17"/>
        <v>0.016502403674715838</v>
      </c>
      <c r="T46" s="733">
        <v>405.20997116934257</v>
      </c>
      <c r="U46" s="736">
        <f t="shared" si="18"/>
        <v>0.012590161035395776</v>
      </c>
      <c r="V46" s="733">
        <v>245.70393691077615</v>
      </c>
      <c r="W46" s="736">
        <f t="shared" si="19"/>
        <v>0.03974481093691368</v>
      </c>
      <c r="X46" s="734">
        <f t="shared" si="20"/>
        <v>1594.0816107442538</v>
      </c>
      <c r="Y46" s="735">
        <f t="shared" si="21"/>
        <v>0.01668845126435624</v>
      </c>
      <c r="AA46" s="731">
        <v>476</v>
      </c>
      <c r="AB46" s="736">
        <f t="shared" si="22"/>
        <v>0.02914523634582415</v>
      </c>
      <c r="AC46" s="733">
        <v>126</v>
      </c>
      <c r="AD46" s="736">
        <f t="shared" si="23"/>
        <v>0.01216685979142526</v>
      </c>
      <c r="AE46" s="733">
        <v>85</v>
      </c>
      <c r="AF46" s="736">
        <f t="shared" si="24"/>
        <v>0.02526002971768202</v>
      </c>
      <c r="AG46" s="733">
        <f t="shared" si="25"/>
        <v>687</v>
      </c>
      <c r="AH46" s="737">
        <f t="shared" si="26"/>
        <v>0.022859614680730708</v>
      </c>
      <c r="AI46" s="738">
        <v>10</v>
      </c>
      <c r="AJ46" s="736">
        <f t="shared" si="27"/>
        <v>0.018691588785046728</v>
      </c>
      <c r="AK46" s="733">
        <v>61</v>
      </c>
      <c r="AL46" s="736">
        <f t="shared" si="28"/>
        <v>0.015557255802091304</v>
      </c>
      <c r="AM46" s="733">
        <v>8</v>
      </c>
      <c r="AN46" s="736">
        <f t="shared" si="29"/>
        <v>0.03686635944700461</v>
      </c>
      <c r="AO46" s="733">
        <f t="shared" si="30"/>
        <v>79</v>
      </c>
      <c r="AP46" s="737">
        <f t="shared" si="31"/>
        <v>0.016905628076182323</v>
      </c>
      <c r="AQ46" s="738">
        <v>1727.88</v>
      </c>
      <c r="AR46" s="736">
        <f t="shared" si="32"/>
        <v>0.003782678272297582</v>
      </c>
      <c r="AS46" s="733">
        <v>4863.36</v>
      </c>
      <c r="AT46" s="736">
        <f t="shared" si="33"/>
        <v>0.005141548521471782</v>
      </c>
      <c r="AU46" s="733">
        <v>6000.66</v>
      </c>
      <c r="AV46" s="736">
        <f t="shared" si="34"/>
        <v>0.049015269027472476</v>
      </c>
      <c r="AW46" s="733">
        <f t="shared" si="35"/>
        <v>12591.9</v>
      </c>
      <c r="AX46" s="737">
        <f t="shared" si="36"/>
        <v>0.008256410909412462</v>
      </c>
      <c r="AY46" s="739">
        <v>6831.96</v>
      </c>
      <c r="AZ46" s="736">
        <f t="shared" si="37"/>
        <v>0.009693114922566854</v>
      </c>
      <c r="BA46" s="733">
        <v>16993.2</v>
      </c>
      <c r="BB46" s="736">
        <f t="shared" si="38"/>
        <v>0.01947677201352495</v>
      </c>
      <c r="BC46" s="733">
        <v>1832.94</v>
      </c>
      <c r="BD46" s="736">
        <f t="shared" si="39"/>
        <v>0.0509733645023552</v>
      </c>
      <c r="BE46" s="733">
        <f t="shared" si="40"/>
        <v>25658.1</v>
      </c>
      <c r="BF46" s="735">
        <f t="shared" si="41"/>
        <v>0.01590440257784951</v>
      </c>
      <c r="BH46" s="720"/>
    </row>
    <row r="47" spans="1:60" ht="11.25" customHeight="1">
      <c r="A47" s="681">
        <v>23000</v>
      </c>
      <c r="B47" s="682" t="s">
        <v>129</v>
      </c>
      <c r="E47" s="718"/>
      <c r="G47" s="718"/>
      <c r="H47" s="635"/>
      <c r="I47" s="635"/>
      <c r="J47" s="635"/>
      <c r="K47" s="718"/>
      <c r="L47" s="635"/>
      <c r="M47" s="635"/>
      <c r="N47" s="635"/>
      <c r="O47" s="635"/>
      <c r="P47" s="635"/>
      <c r="Q47" s="635"/>
      <c r="R47" s="731">
        <v>2751.6521335598572</v>
      </c>
      <c r="S47" s="736">
        <f t="shared" si="17"/>
        <v>0.048145069166525625</v>
      </c>
      <c r="T47" s="733">
        <v>1172.4029133841427</v>
      </c>
      <c r="U47" s="736">
        <f t="shared" si="18"/>
        <v>0.036427389571084406</v>
      </c>
      <c r="V47" s="733">
        <v>151.86045918367347</v>
      </c>
      <c r="W47" s="736">
        <f t="shared" si="19"/>
        <v>0.02456478848053527</v>
      </c>
      <c r="X47" s="734">
        <f t="shared" si="20"/>
        <v>4075.9155061276733</v>
      </c>
      <c r="Y47" s="735">
        <f t="shared" si="21"/>
        <v>0.042670787256549346</v>
      </c>
      <c r="AA47" s="731">
        <v>289</v>
      </c>
      <c r="AB47" s="736">
        <f t="shared" si="22"/>
        <v>0.01769532206710752</v>
      </c>
      <c r="AC47" s="733">
        <v>90</v>
      </c>
      <c r="AD47" s="736">
        <f t="shared" si="23"/>
        <v>0.00869061413673233</v>
      </c>
      <c r="AE47" s="733">
        <v>29</v>
      </c>
      <c r="AF47" s="736">
        <f t="shared" si="24"/>
        <v>0.00861812778603269</v>
      </c>
      <c r="AG47" s="733">
        <f t="shared" si="25"/>
        <v>408</v>
      </c>
      <c r="AH47" s="737">
        <f t="shared" si="26"/>
        <v>0.013576015705586796</v>
      </c>
      <c r="AI47" s="738">
        <v>1</v>
      </c>
      <c r="AJ47" s="736">
        <f t="shared" si="27"/>
        <v>0.001869158878504673</v>
      </c>
      <c r="AK47" s="733">
        <v>0</v>
      </c>
      <c r="AL47" s="736">
        <f t="shared" si="28"/>
        <v>0</v>
      </c>
      <c r="AM47" s="733">
        <v>2</v>
      </c>
      <c r="AN47" s="736">
        <f t="shared" si="29"/>
        <v>0.009216589861751152</v>
      </c>
      <c r="AO47" s="733">
        <f t="shared" si="30"/>
        <v>3</v>
      </c>
      <c r="AP47" s="737">
        <f t="shared" si="31"/>
        <v>0.0006419858763107211</v>
      </c>
      <c r="AQ47" s="738">
        <v>19881.6</v>
      </c>
      <c r="AR47" s="736">
        <f t="shared" si="32"/>
        <v>0.043524837568877234</v>
      </c>
      <c r="AS47" s="733">
        <v>42550.49999999999</v>
      </c>
      <c r="AT47" s="736">
        <f t="shared" si="33"/>
        <v>0.04498442647940622</v>
      </c>
      <c r="AU47" s="733">
        <v>5394.48</v>
      </c>
      <c r="AV47" s="736">
        <f t="shared" si="34"/>
        <v>0.04406380105910345</v>
      </c>
      <c r="AW47" s="733">
        <f t="shared" si="35"/>
        <v>67826.57999999999</v>
      </c>
      <c r="AX47" s="737">
        <f t="shared" si="36"/>
        <v>0.04447336105433946</v>
      </c>
      <c r="AY47" s="739">
        <v>19555.559999999998</v>
      </c>
      <c r="AZ47" s="736">
        <f t="shared" si="37"/>
        <v>0.027745228375920153</v>
      </c>
      <c r="BA47" s="733">
        <v>15461.819999999998</v>
      </c>
      <c r="BB47" s="736">
        <f t="shared" si="38"/>
        <v>0.017721579399651643</v>
      </c>
      <c r="BC47" s="733">
        <v>1504.8</v>
      </c>
      <c r="BD47" s="736">
        <f t="shared" si="39"/>
        <v>0.0418479158636639</v>
      </c>
      <c r="BE47" s="733">
        <f t="shared" si="40"/>
        <v>36522.18</v>
      </c>
      <c r="BF47" s="735">
        <f t="shared" si="41"/>
        <v>0.022638599652378154</v>
      </c>
      <c r="BH47" s="720"/>
    </row>
    <row r="48" spans="1:60" ht="11.25" customHeight="1">
      <c r="A48" s="681">
        <v>24000</v>
      </c>
      <c r="B48" s="682" t="s">
        <v>130</v>
      </c>
      <c r="E48" s="718"/>
      <c r="G48" s="718"/>
      <c r="H48" s="635"/>
      <c r="I48" s="635"/>
      <c r="J48" s="635"/>
      <c r="K48" s="718"/>
      <c r="L48" s="635"/>
      <c r="M48" s="635"/>
      <c r="N48" s="635"/>
      <c r="O48" s="635"/>
      <c r="P48" s="635"/>
      <c r="Q48" s="635"/>
      <c r="R48" s="731">
        <v>1510.934986781781</v>
      </c>
      <c r="S48" s="736">
        <f t="shared" si="17"/>
        <v>0.026436506474610995</v>
      </c>
      <c r="T48" s="733">
        <v>422.8640124208965</v>
      </c>
      <c r="U48" s="736">
        <f t="shared" si="18"/>
        <v>0.013138684611064884</v>
      </c>
      <c r="V48" s="733">
        <v>36.19056085372779</v>
      </c>
      <c r="W48" s="736">
        <f t="shared" si="19"/>
        <v>0.005854147137066875</v>
      </c>
      <c r="X48" s="734">
        <f t="shared" si="20"/>
        <v>1969.989560056405</v>
      </c>
      <c r="Y48" s="735">
        <f t="shared" si="21"/>
        <v>0.020623834151717323</v>
      </c>
      <c r="AA48" s="731">
        <v>274</v>
      </c>
      <c r="AB48" s="736">
        <f t="shared" si="22"/>
        <v>0.016776879745285328</v>
      </c>
      <c r="AC48" s="733">
        <v>86</v>
      </c>
      <c r="AD48" s="736">
        <f t="shared" si="23"/>
        <v>0.008304364619544225</v>
      </c>
      <c r="AE48" s="733">
        <v>60</v>
      </c>
      <c r="AF48" s="736">
        <f t="shared" si="24"/>
        <v>0.017830609212481426</v>
      </c>
      <c r="AG48" s="733">
        <f t="shared" si="25"/>
        <v>420</v>
      </c>
      <c r="AH48" s="737">
        <f t="shared" si="26"/>
        <v>0.013975310285162879</v>
      </c>
      <c r="AI48" s="738">
        <v>3</v>
      </c>
      <c r="AJ48" s="736">
        <f t="shared" si="27"/>
        <v>0.005607476635514018</v>
      </c>
      <c r="AK48" s="733">
        <v>2</v>
      </c>
      <c r="AL48" s="736">
        <f t="shared" si="28"/>
        <v>0.000510073960724305</v>
      </c>
      <c r="AM48" s="733">
        <v>2</v>
      </c>
      <c r="AN48" s="736">
        <f t="shared" si="29"/>
        <v>0.009216589861751152</v>
      </c>
      <c r="AO48" s="733">
        <f t="shared" si="30"/>
        <v>7</v>
      </c>
      <c r="AP48" s="737">
        <f t="shared" si="31"/>
        <v>0.001497967044725016</v>
      </c>
      <c r="AQ48" s="738">
        <v>15370.619999999999</v>
      </c>
      <c r="AR48" s="736">
        <f t="shared" si="32"/>
        <v>0.03364939133836994</v>
      </c>
      <c r="AS48" s="733">
        <v>16337.339999999998</v>
      </c>
      <c r="AT48" s="736">
        <f t="shared" si="33"/>
        <v>0.017271850391865254</v>
      </c>
      <c r="AU48" s="733">
        <v>4818.78</v>
      </c>
      <c r="AV48" s="736">
        <f t="shared" si="34"/>
        <v>0.0393613032706742</v>
      </c>
      <c r="AW48" s="733">
        <f t="shared" si="35"/>
        <v>36526.74</v>
      </c>
      <c r="AX48" s="737">
        <f t="shared" si="36"/>
        <v>0.02395029936874281</v>
      </c>
      <c r="AY48" s="739">
        <v>15759.359999999999</v>
      </c>
      <c r="AZ48" s="736">
        <f t="shared" si="37"/>
        <v>0.022359218670206377</v>
      </c>
      <c r="BA48" s="733">
        <v>4419.78</v>
      </c>
      <c r="BB48" s="736">
        <f t="shared" si="38"/>
        <v>0.005065734965158846</v>
      </c>
      <c r="BC48" s="733">
        <v>1542.4199999999998</v>
      </c>
      <c r="BD48" s="736">
        <f t="shared" si="39"/>
        <v>0.04289411376025549</v>
      </c>
      <c r="BE48" s="733">
        <f t="shared" si="40"/>
        <v>21721.559999999998</v>
      </c>
      <c r="BF48" s="735">
        <f t="shared" si="41"/>
        <v>0.013464303080076576</v>
      </c>
      <c r="BH48" s="720"/>
    </row>
    <row r="49" spans="1:60" ht="11.25" customHeight="1">
      <c r="A49" s="681">
        <v>25000</v>
      </c>
      <c r="B49" s="682" t="s">
        <v>131</v>
      </c>
      <c r="E49" s="718"/>
      <c r="G49" s="718"/>
      <c r="H49" s="635"/>
      <c r="I49" s="635"/>
      <c r="J49" s="635"/>
      <c r="K49" s="718"/>
      <c r="L49" s="635"/>
      <c r="M49" s="635"/>
      <c r="N49" s="635"/>
      <c r="O49" s="635"/>
      <c r="P49" s="635"/>
      <c r="Q49" s="635"/>
      <c r="R49" s="731">
        <v>2106.8513219399606</v>
      </c>
      <c r="S49" s="736">
        <f t="shared" si="17"/>
        <v>0.03686312720320424</v>
      </c>
      <c r="T49" s="733">
        <v>566.483515952</v>
      </c>
      <c r="U49" s="736">
        <f t="shared" si="18"/>
        <v>0.017601044389779504</v>
      </c>
      <c r="V49" s="733">
        <v>136.49462147132644</v>
      </c>
      <c r="W49" s="736">
        <f t="shared" si="19"/>
        <v>0.02207922670060212</v>
      </c>
      <c r="X49" s="734">
        <f t="shared" si="20"/>
        <v>2809.829459363287</v>
      </c>
      <c r="Y49" s="735">
        <f t="shared" si="21"/>
        <v>0.02941612379045235</v>
      </c>
      <c r="AA49" s="731">
        <v>131</v>
      </c>
      <c r="AB49" s="736">
        <f t="shared" si="22"/>
        <v>0.008021062943913788</v>
      </c>
      <c r="AC49" s="733">
        <v>35</v>
      </c>
      <c r="AD49" s="736">
        <f t="shared" si="23"/>
        <v>0.003379683275395906</v>
      </c>
      <c r="AE49" s="733">
        <v>40</v>
      </c>
      <c r="AF49" s="736">
        <f t="shared" si="24"/>
        <v>0.01188707280832095</v>
      </c>
      <c r="AG49" s="733">
        <f t="shared" si="25"/>
        <v>206</v>
      </c>
      <c r="AH49" s="737">
        <f t="shared" si="26"/>
        <v>0.006854556949389412</v>
      </c>
      <c r="AI49" s="738">
        <v>3</v>
      </c>
      <c r="AJ49" s="736">
        <f t="shared" si="27"/>
        <v>0.005607476635514018</v>
      </c>
      <c r="AK49" s="733">
        <v>6</v>
      </c>
      <c r="AL49" s="736">
        <f t="shared" si="28"/>
        <v>0.001530221882172915</v>
      </c>
      <c r="AM49" s="733">
        <v>13</v>
      </c>
      <c r="AN49" s="736">
        <f t="shared" si="29"/>
        <v>0.059907834101382486</v>
      </c>
      <c r="AO49" s="733">
        <f t="shared" si="30"/>
        <v>22</v>
      </c>
      <c r="AP49" s="737">
        <f t="shared" si="31"/>
        <v>0.004707896426278622</v>
      </c>
      <c r="AQ49" s="738">
        <v>10616.16</v>
      </c>
      <c r="AR49" s="736">
        <f t="shared" si="32"/>
        <v>0.023240918216099898</v>
      </c>
      <c r="AS49" s="733">
        <v>11490.300000000001</v>
      </c>
      <c r="AT49" s="736">
        <f t="shared" si="33"/>
        <v>0.012147555388921902</v>
      </c>
      <c r="AU49" s="733">
        <v>1587.1200000000001</v>
      </c>
      <c r="AV49" s="736">
        <f t="shared" si="34"/>
        <v>0.012964092912926599</v>
      </c>
      <c r="AW49" s="733">
        <f t="shared" si="35"/>
        <v>23693.579999999998</v>
      </c>
      <c r="AX49" s="737">
        <f t="shared" si="36"/>
        <v>0.015535696153482551</v>
      </c>
      <c r="AY49" s="739">
        <v>19219.86</v>
      </c>
      <c r="AZ49" s="736">
        <f t="shared" si="37"/>
        <v>0.027268940651825505</v>
      </c>
      <c r="BA49" s="733">
        <v>2275.62</v>
      </c>
      <c r="BB49" s="736">
        <f t="shared" si="38"/>
        <v>0.002608203983323779</v>
      </c>
      <c r="BC49" s="733">
        <v>492.66</v>
      </c>
      <c r="BD49" s="736">
        <f t="shared" si="39"/>
        <v>0.013700687286943552</v>
      </c>
      <c r="BE49" s="733">
        <f t="shared" si="40"/>
        <v>21988.14</v>
      </c>
      <c r="BF49" s="735">
        <f t="shared" si="41"/>
        <v>0.013629545075360839</v>
      </c>
      <c r="BH49" s="720"/>
    </row>
    <row r="50" spans="1:60" ht="11.25" customHeight="1">
      <c r="A50" s="681">
        <v>26000</v>
      </c>
      <c r="B50" s="682" t="s">
        <v>132</v>
      </c>
      <c r="E50" s="718"/>
      <c r="G50" s="718"/>
      <c r="H50" s="635"/>
      <c r="I50" s="635"/>
      <c r="J50" s="635"/>
      <c r="K50" s="718"/>
      <c r="L50" s="635"/>
      <c r="M50" s="635"/>
      <c r="N50" s="635"/>
      <c r="O50" s="635"/>
      <c r="P50" s="635"/>
      <c r="Q50" s="635"/>
      <c r="R50" s="731">
        <v>4054.9038146800385</v>
      </c>
      <c r="S50" s="736">
        <f t="shared" si="17"/>
        <v>0.07094778523795996</v>
      </c>
      <c r="T50" s="733">
        <v>1890.4624312399571</v>
      </c>
      <c r="U50" s="736">
        <f t="shared" si="18"/>
        <v>0.05873800778394476</v>
      </c>
      <c r="V50" s="733">
        <v>419.4137123018506</v>
      </c>
      <c r="W50" s="736">
        <f t="shared" si="19"/>
        <v>0.06784392187350036</v>
      </c>
      <c r="X50" s="734">
        <f t="shared" si="20"/>
        <v>6364.779958221847</v>
      </c>
      <c r="Y50" s="735">
        <f t="shared" si="21"/>
        <v>0.0666329248297048</v>
      </c>
      <c r="AA50" s="731">
        <v>2258</v>
      </c>
      <c r="AB50" s="736">
        <f t="shared" si="22"/>
        <v>0.13825618417830027</v>
      </c>
      <c r="AC50" s="733">
        <v>808</v>
      </c>
      <c r="AD50" s="736">
        <f t="shared" si="23"/>
        <v>0.0780224024719969</v>
      </c>
      <c r="AE50" s="733">
        <v>255</v>
      </c>
      <c r="AF50" s="736">
        <f t="shared" si="24"/>
        <v>0.07578008915304606</v>
      </c>
      <c r="AG50" s="733">
        <f t="shared" si="25"/>
        <v>3321</v>
      </c>
      <c r="AH50" s="737">
        <f t="shared" si="26"/>
        <v>0.11050477489768076</v>
      </c>
      <c r="AI50" s="738">
        <v>3</v>
      </c>
      <c r="AJ50" s="736">
        <f t="shared" si="27"/>
        <v>0.005607476635514018</v>
      </c>
      <c r="AK50" s="733">
        <v>12</v>
      </c>
      <c r="AL50" s="736">
        <f t="shared" si="28"/>
        <v>0.00306044376434583</v>
      </c>
      <c r="AM50" s="733">
        <v>4</v>
      </c>
      <c r="AN50" s="736">
        <f t="shared" si="29"/>
        <v>0.018433179723502304</v>
      </c>
      <c r="AO50" s="733">
        <f t="shared" si="30"/>
        <v>19</v>
      </c>
      <c r="AP50" s="737">
        <f t="shared" si="31"/>
        <v>0.004065910549967901</v>
      </c>
      <c r="AQ50" s="738">
        <v>22699.679999999997</v>
      </c>
      <c r="AR50" s="736">
        <f t="shared" si="32"/>
        <v>0.04969418381143827</v>
      </c>
      <c r="AS50" s="733">
        <v>70136.22</v>
      </c>
      <c r="AT50" s="736">
        <f t="shared" si="33"/>
        <v>0.07414807422083079</v>
      </c>
      <c r="AU50" s="733">
        <v>12052.079999999998</v>
      </c>
      <c r="AV50" s="736">
        <f t="shared" si="34"/>
        <v>0.09844516162232494</v>
      </c>
      <c r="AW50" s="733">
        <f t="shared" si="35"/>
        <v>104887.98</v>
      </c>
      <c r="AX50" s="737">
        <f t="shared" si="36"/>
        <v>0.06877423282731249</v>
      </c>
      <c r="AY50" s="739">
        <v>54318.719999999994</v>
      </c>
      <c r="AZ50" s="736">
        <f t="shared" si="37"/>
        <v>0.07706684398133633</v>
      </c>
      <c r="BA50" s="733">
        <v>58146.84</v>
      </c>
      <c r="BB50" s="736">
        <f t="shared" si="38"/>
        <v>0.06664505484469746</v>
      </c>
      <c r="BC50" s="733">
        <v>1698.6</v>
      </c>
      <c r="BD50" s="736">
        <f t="shared" si="39"/>
        <v>0.04723742017943879</v>
      </c>
      <c r="BE50" s="733">
        <f t="shared" si="40"/>
        <v>114164.16</v>
      </c>
      <c r="BF50" s="735">
        <f t="shared" si="41"/>
        <v>0.0707656748006292</v>
      </c>
      <c r="BH50" s="720"/>
    </row>
    <row r="51" spans="1:60" ht="11.25" customHeight="1">
      <c r="A51" s="681">
        <v>27000</v>
      </c>
      <c r="B51" s="682" t="s">
        <v>133</v>
      </c>
      <c r="E51" s="718"/>
      <c r="G51" s="718"/>
      <c r="H51" s="635"/>
      <c r="I51" s="635"/>
      <c r="J51" s="635"/>
      <c r="K51" s="718"/>
      <c r="L51" s="635"/>
      <c r="M51" s="635"/>
      <c r="N51" s="635"/>
      <c r="O51" s="635"/>
      <c r="P51" s="635"/>
      <c r="Q51" s="635"/>
      <c r="R51" s="731">
        <v>3627.7616075913133</v>
      </c>
      <c r="S51" s="736">
        <f t="shared" si="17"/>
        <v>0.06347416934973935</v>
      </c>
      <c r="T51" s="733">
        <v>1415.3304457402448</v>
      </c>
      <c r="U51" s="736">
        <f t="shared" si="18"/>
        <v>0.043975320199416496</v>
      </c>
      <c r="V51" s="733">
        <v>344.8762117144828</v>
      </c>
      <c r="W51" s="736">
        <f t="shared" si="19"/>
        <v>0.05578681401514802</v>
      </c>
      <c r="X51" s="734">
        <f t="shared" si="20"/>
        <v>5387.968265046041</v>
      </c>
      <c r="Y51" s="735">
        <f t="shared" si="21"/>
        <v>0.056406676545963035</v>
      </c>
      <c r="AA51" s="731">
        <v>639</v>
      </c>
      <c r="AB51" s="736">
        <f t="shared" si="22"/>
        <v>0.03912564290962527</v>
      </c>
      <c r="AC51" s="733">
        <v>356</v>
      </c>
      <c r="AD51" s="736">
        <f t="shared" si="23"/>
        <v>0.034376207029741215</v>
      </c>
      <c r="AE51" s="733">
        <v>133</v>
      </c>
      <c r="AF51" s="736">
        <f t="shared" si="24"/>
        <v>0.03952451708766716</v>
      </c>
      <c r="AG51" s="733">
        <f t="shared" si="25"/>
        <v>1128</v>
      </c>
      <c r="AH51" s="737">
        <f t="shared" si="26"/>
        <v>0.03753369048015173</v>
      </c>
      <c r="AI51" s="738">
        <v>19</v>
      </c>
      <c r="AJ51" s="736">
        <f t="shared" si="27"/>
        <v>0.03551401869158879</v>
      </c>
      <c r="AK51" s="733">
        <v>11</v>
      </c>
      <c r="AL51" s="736">
        <f t="shared" si="28"/>
        <v>0.0028054067839836778</v>
      </c>
      <c r="AM51" s="733">
        <v>13</v>
      </c>
      <c r="AN51" s="736">
        <f t="shared" si="29"/>
        <v>0.059907834101382486</v>
      </c>
      <c r="AO51" s="733">
        <f t="shared" si="30"/>
        <v>43</v>
      </c>
      <c r="AP51" s="737">
        <f t="shared" si="31"/>
        <v>0.00920179756045367</v>
      </c>
      <c r="AQ51" s="738">
        <v>9151.92</v>
      </c>
      <c r="AR51" s="736">
        <f t="shared" si="32"/>
        <v>0.020035401146957937</v>
      </c>
      <c r="AS51" s="733">
        <v>34659.42</v>
      </c>
      <c r="AT51" s="736">
        <f t="shared" si="33"/>
        <v>0.03664196967859042</v>
      </c>
      <c r="AU51" s="733">
        <v>6012.36</v>
      </c>
      <c r="AV51" s="736">
        <f t="shared" si="34"/>
        <v>0.04911083828945723</v>
      </c>
      <c r="AW51" s="733">
        <f t="shared" si="35"/>
        <v>49823.7</v>
      </c>
      <c r="AX51" s="737">
        <f t="shared" si="36"/>
        <v>0.03266901263727426</v>
      </c>
      <c r="AY51" s="739">
        <v>51942.96</v>
      </c>
      <c r="AZ51" s="736">
        <f t="shared" si="37"/>
        <v>0.0736961400093521</v>
      </c>
      <c r="BA51" s="733">
        <v>16707.84</v>
      </c>
      <c r="BB51" s="736">
        <f t="shared" si="38"/>
        <v>0.019149706383638908</v>
      </c>
      <c r="BC51" s="733">
        <v>1814.8799999999999</v>
      </c>
      <c r="BD51" s="736">
        <f t="shared" si="39"/>
        <v>0.050471122768903726</v>
      </c>
      <c r="BE51" s="733">
        <f t="shared" si="40"/>
        <v>70465.68000000001</v>
      </c>
      <c r="BF51" s="735">
        <f t="shared" si="41"/>
        <v>0.04367878146245899</v>
      </c>
      <c r="BH51" s="720"/>
    </row>
    <row r="52" spans="1:60" ht="11.25" customHeight="1">
      <c r="A52" s="681">
        <v>28000</v>
      </c>
      <c r="B52" s="682" t="s">
        <v>134</v>
      </c>
      <c r="E52" s="718"/>
      <c r="G52" s="718"/>
      <c r="H52" s="635"/>
      <c r="I52" s="635"/>
      <c r="J52" s="635"/>
      <c r="K52" s="718"/>
      <c r="L52" s="635"/>
      <c r="M52" s="635"/>
      <c r="N52" s="635"/>
      <c r="O52" s="635"/>
      <c r="P52" s="635"/>
      <c r="Q52" s="635"/>
      <c r="R52" s="731">
        <v>2805.780167568051</v>
      </c>
      <c r="S52" s="736">
        <f t="shared" si="17"/>
        <v>0.0490921358067412</v>
      </c>
      <c r="T52" s="733">
        <v>1024.281856814818</v>
      </c>
      <c r="U52" s="736">
        <f t="shared" si="18"/>
        <v>0.031825163348567755</v>
      </c>
      <c r="V52" s="733">
        <v>108.82031936949524</v>
      </c>
      <c r="W52" s="736">
        <f t="shared" si="19"/>
        <v>0.017602660640336953</v>
      </c>
      <c r="X52" s="734">
        <f t="shared" si="20"/>
        <v>3938.8823437523642</v>
      </c>
      <c r="Y52" s="735">
        <f t="shared" si="21"/>
        <v>0.04123618614423035</v>
      </c>
      <c r="AA52" s="731">
        <v>499</v>
      </c>
      <c r="AB52" s="736">
        <f t="shared" si="22"/>
        <v>0.030553514572618172</v>
      </c>
      <c r="AC52" s="733">
        <v>205</v>
      </c>
      <c r="AD52" s="736">
        <f t="shared" si="23"/>
        <v>0.019795287755890303</v>
      </c>
      <c r="AE52" s="733">
        <v>49</v>
      </c>
      <c r="AF52" s="736">
        <f t="shared" si="24"/>
        <v>0.014561664190193165</v>
      </c>
      <c r="AG52" s="733">
        <f t="shared" si="25"/>
        <v>753</v>
      </c>
      <c r="AH52" s="737">
        <f t="shared" si="26"/>
        <v>0.02505573486839916</v>
      </c>
      <c r="AI52" s="738">
        <v>3</v>
      </c>
      <c r="AJ52" s="736">
        <f t="shared" si="27"/>
        <v>0.005607476635514018</v>
      </c>
      <c r="AK52" s="733">
        <v>13</v>
      </c>
      <c r="AL52" s="736">
        <f t="shared" si="28"/>
        <v>0.0033154807447079828</v>
      </c>
      <c r="AM52" s="733">
        <v>22</v>
      </c>
      <c r="AN52" s="736">
        <f t="shared" si="29"/>
        <v>0.10138248847926268</v>
      </c>
      <c r="AO52" s="733">
        <f t="shared" si="30"/>
        <v>38</v>
      </c>
      <c r="AP52" s="737">
        <f t="shared" si="31"/>
        <v>0.008131821099935802</v>
      </c>
      <c r="AQ52" s="738">
        <v>17831.879999999997</v>
      </c>
      <c r="AR52" s="736">
        <f t="shared" si="32"/>
        <v>0.03903758653970055</v>
      </c>
      <c r="AS52" s="733">
        <v>13747.259999999998</v>
      </c>
      <c r="AT52" s="736">
        <f t="shared" si="33"/>
        <v>0.014533615510118142</v>
      </c>
      <c r="AU52" s="733">
        <v>2162.58</v>
      </c>
      <c r="AV52" s="736">
        <f t="shared" si="34"/>
        <v>0.01766463030623822</v>
      </c>
      <c r="AW52" s="733">
        <f t="shared" si="35"/>
        <v>33741.719999999994</v>
      </c>
      <c r="AX52" s="737">
        <f t="shared" si="36"/>
        <v>0.02212418341237944</v>
      </c>
      <c r="AY52" s="739">
        <v>10737.66</v>
      </c>
      <c r="AZ52" s="736">
        <f t="shared" si="37"/>
        <v>0.01523448210754296</v>
      </c>
      <c r="BA52" s="733">
        <v>8575.08</v>
      </c>
      <c r="BB52" s="736">
        <f t="shared" si="38"/>
        <v>0.009828335931886726</v>
      </c>
      <c r="BC52" s="733">
        <v>210.89999999999998</v>
      </c>
      <c r="BD52" s="736">
        <f t="shared" si="39"/>
        <v>0.005865048814225621</v>
      </c>
      <c r="BE52" s="733">
        <f t="shared" si="40"/>
        <v>19523.64</v>
      </c>
      <c r="BF52" s="735">
        <f t="shared" si="41"/>
        <v>0.012101902726429697</v>
      </c>
      <c r="BH52" s="720"/>
    </row>
    <row r="53" spans="1:60" ht="11.25" customHeight="1">
      <c r="A53" s="681">
        <v>31000</v>
      </c>
      <c r="B53" s="682" t="s">
        <v>135</v>
      </c>
      <c r="E53" s="718"/>
      <c r="G53" s="718"/>
      <c r="H53" s="635"/>
      <c r="I53" s="635"/>
      <c r="J53" s="635"/>
      <c r="K53" s="718"/>
      <c r="L53" s="635"/>
      <c r="M53" s="635"/>
      <c r="N53" s="635"/>
      <c r="O53" s="635"/>
      <c r="P53" s="635"/>
      <c r="Q53" s="635"/>
      <c r="R53" s="731">
        <v>2118.1994878099313</v>
      </c>
      <c r="S53" s="736">
        <f t="shared" si="17"/>
        <v>0.0370616836355597</v>
      </c>
      <c r="T53" s="733">
        <v>1135.640291644365</v>
      </c>
      <c r="U53" s="736">
        <f t="shared" si="18"/>
        <v>0.03528514885461963</v>
      </c>
      <c r="V53" s="733">
        <v>116.56398144822224</v>
      </c>
      <c r="W53" s="736">
        <f t="shared" si="19"/>
        <v>0.018855267290225984</v>
      </c>
      <c r="X53" s="734">
        <f t="shared" si="20"/>
        <v>3370.4037609025186</v>
      </c>
      <c r="Y53" s="735">
        <f t="shared" si="21"/>
        <v>0.03528477997984295</v>
      </c>
      <c r="AA53" s="731">
        <v>1889</v>
      </c>
      <c r="AB53" s="736">
        <f t="shared" si="22"/>
        <v>0.11566250306147441</v>
      </c>
      <c r="AC53" s="733">
        <v>1005</v>
      </c>
      <c r="AD53" s="736">
        <f t="shared" si="23"/>
        <v>0.097045191193511</v>
      </c>
      <c r="AE53" s="733">
        <v>89</v>
      </c>
      <c r="AF53" s="736">
        <f t="shared" si="24"/>
        <v>0.026448736998514116</v>
      </c>
      <c r="AG53" s="733">
        <f t="shared" si="25"/>
        <v>2983</v>
      </c>
      <c r="AH53" s="737">
        <f t="shared" si="26"/>
        <v>0.09925797757295445</v>
      </c>
      <c r="AI53" s="738">
        <v>111</v>
      </c>
      <c r="AJ53" s="736">
        <f t="shared" si="27"/>
        <v>0.20747663551401868</v>
      </c>
      <c r="AK53" s="733">
        <v>150</v>
      </c>
      <c r="AL53" s="736">
        <f t="shared" si="28"/>
        <v>0.03825554705432287</v>
      </c>
      <c r="AM53" s="733">
        <v>12</v>
      </c>
      <c r="AN53" s="736">
        <f t="shared" si="29"/>
        <v>0.055299539170506916</v>
      </c>
      <c r="AO53" s="733">
        <f t="shared" si="30"/>
        <v>273</v>
      </c>
      <c r="AP53" s="737">
        <f t="shared" si="31"/>
        <v>0.058420714744275626</v>
      </c>
      <c r="AQ53" s="738">
        <v>1903.7999999999997</v>
      </c>
      <c r="AR53" s="736">
        <f t="shared" si="32"/>
        <v>0.004167802680047303</v>
      </c>
      <c r="AS53" s="733">
        <v>95332.49999999999</v>
      </c>
      <c r="AT53" s="736">
        <f t="shared" si="33"/>
        <v>0.10078560386712244</v>
      </c>
      <c r="AU53" s="733">
        <v>3522.6</v>
      </c>
      <c r="AV53" s="736">
        <f t="shared" si="34"/>
        <v>0.02877369933910179</v>
      </c>
      <c r="AW53" s="733">
        <f t="shared" si="35"/>
        <v>100758.9</v>
      </c>
      <c r="AX53" s="737">
        <f t="shared" si="36"/>
        <v>0.06606682718099725</v>
      </c>
      <c r="AY53" s="739">
        <v>32818.32</v>
      </c>
      <c r="AZ53" s="736">
        <f t="shared" si="37"/>
        <v>0.046562296518945404</v>
      </c>
      <c r="BA53" s="733">
        <v>57940.49999999999</v>
      </c>
      <c r="BB53" s="736">
        <f t="shared" si="38"/>
        <v>0.06640855806143882</v>
      </c>
      <c r="BC53" s="733">
        <v>878.9399999999999</v>
      </c>
      <c r="BD53" s="736">
        <f t="shared" si="39"/>
        <v>0.02444298722036732</v>
      </c>
      <c r="BE53" s="733">
        <f t="shared" si="40"/>
        <v>91637.76</v>
      </c>
      <c r="BF53" s="735">
        <f t="shared" si="41"/>
        <v>0.056802484454123836</v>
      </c>
      <c r="BH53" s="720"/>
    </row>
    <row r="54" spans="1:60" ht="11.25" customHeight="1">
      <c r="A54" s="681">
        <v>41000</v>
      </c>
      <c r="B54" s="682" t="s">
        <v>136</v>
      </c>
      <c r="E54" s="718"/>
      <c r="G54" s="718"/>
      <c r="H54" s="635"/>
      <c r="I54" s="635"/>
      <c r="J54" s="635"/>
      <c r="K54" s="718"/>
      <c r="L54" s="635"/>
      <c r="M54" s="635"/>
      <c r="N54" s="635"/>
      <c r="O54" s="635"/>
      <c r="P54" s="635"/>
      <c r="Q54" s="635"/>
      <c r="R54" s="731">
        <v>3845.2258083515976</v>
      </c>
      <c r="S54" s="736">
        <f t="shared" si="17"/>
        <v>0.06727909398361817</v>
      </c>
      <c r="T54" s="733">
        <v>1749.0893273664683</v>
      </c>
      <c r="U54" s="736">
        <f t="shared" si="18"/>
        <v>0.05434544523494196</v>
      </c>
      <c r="V54" s="733">
        <v>431.34848890883785</v>
      </c>
      <c r="W54" s="736">
        <f t="shared" si="19"/>
        <v>0.0697744788103689</v>
      </c>
      <c r="X54" s="734">
        <f t="shared" si="20"/>
        <v>6025.663624626904</v>
      </c>
      <c r="Y54" s="735">
        <f t="shared" si="21"/>
        <v>0.06308271361843305</v>
      </c>
      <c r="AA54" s="731">
        <v>1069</v>
      </c>
      <c r="AB54" s="736">
        <f t="shared" si="22"/>
        <v>0.06545432280186138</v>
      </c>
      <c r="AC54" s="733">
        <v>375</v>
      </c>
      <c r="AD54" s="736">
        <f t="shared" si="23"/>
        <v>0.036210892236384705</v>
      </c>
      <c r="AE54" s="733">
        <v>71</v>
      </c>
      <c r="AF54" s="736">
        <f t="shared" si="24"/>
        <v>0.02109955423476969</v>
      </c>
      <c r="AG54" s="733">
        <f t="shared" si="25"/>
        <v>1515</v>
      </c>
      <c r="AH54" s="737">
        <f t="shared" si="26"/>
        <v>0.050410940671480386</v>
      </c>
      <c r="AI54" s="738">
        <v>16</v>
      </c>
      <c r="AJ54" s="736">
        <f t="shared" si="27"/>
        <v>0.029906542056074768</v>
      </c>
      <c r="AK54" s="733">
        <v>15</v>
      </c>
      <c r="AL54" s="736">
        <f t="shared" si="28"/>
        <v>0.0038255547054322878</v>
      </c>
      <c r="AM54" s="733">
        <v>20</v>
      </c>
      <c r="AN54" s="736">
        <f t="shared" si="29"/>
        <v>0.09216589861751152</v>
      </c>
      <c r="AO54" s="733">
        <f t="shared" si="30"/>
        <v>51</v>
      </c>
      <c r="AP54" s="737">
        <f t="shared" si="31"/>
        <v>0.01091375989728226</v>
      </c>
      <c r="AQ54" s="738">
        <v>12969.779999999999</v>
      </c>
      <c r="AR54" s="736">
        <f t="shared" si="32"/>
        <v>0.0283934677191007</v>
      </c>
      <c r="AS54" s="733">
        <v>70493.04</v>
      </c>
      <c r="AT54" s="736">
        <f t="shared" si="33"/>
        <v>0.07452530464247993</v>
      </c>
      <c r="AU54" s="733">
        <v>3624.0599999999995</v>
      </c>
      <c r="AV54" s="736">
        <f t="shared" si="34"/>
        <v>0.029602456375082388</v>
      </c>
      <c r="AW54" s="733">
        <f t="shared" si="35"/>
        <v>87086.87999999999</v>
      </c>
      <c r="AX54" s="737">
        <f t="shared" si="36"/>
        <v>0.05710218998711028</v>
      </c>
      <c r="AY54" s="739">
        <v>6895.86</v>
      </c>
      <c r="AZ54" s="736">
        <f t="shared" si="37"/>
        <v>0.009783775588547336</v>
      </c>
      <c r="BA54" s="733">
        <v>92743.56</v>
      </c>
      <c r="BB54" s="736">
        <f t="shared" si="38"/>
        <v>0.106298117708417</v>
      </c>
      <c r="BC54" s="733">
        <v>1735.08</v>
      </c>
      <c r="BD54" s="736">
        <f t="shared" si="39"/>
        <v>0.048251915109467004</v>
      </c>
      <c r="BE54" s="733">
        <f t="shared" si="40"/>
        <v>101374.5</v>
      </c>
      <c r="BF54" s="735">
        <f t="shared" si="41"/>
        <v>0.06283788975521201</v>
      </c>
      <c r="BH54" s="720"/>
    </row>
    <row r="55" spans="1:60" ht="11.25" customHeight="1">
      <c r="A55" s="681">
        <v>43000</v>
      </c>
      <c r="B55" s="682" t="s">
        <v>137</v>
      </c>
      <c r="E55" s="718"/>
      <c r="G55" s="718"/>
      <c r="H55" s="635"/>
      <c r="I55" s="635"/>
      <c r="J55" s="635"/>
      <c r="K55" s="718"/>
      <c r="L55" s="635"/>
      <c r="M55" s="635"/>
      <c r="N55" s="635"/>
      <c r="O55" s="635"/>
      <c r="P55" s="635"/>
      <c r="Q55" s="635"/>
      <c r="R55" s="731">
        <v>2517.6502432378015</v>
      </c>
      <c r="S55" s="736">
        <f t="shared" si="17"/>
        <v>0.0440507881136085</v>
      </c>
      <c r="T55" s="733">
        <v>865.7074532807871</v>
      </c>
      <c r="U55" s="736">
        <f t="shared" si="18"/>
        <v>0.02689814422605231</v>
      </c>
      <c r="V55" s="733">
        <v>271.5775658395873</v>
      </c>
      <c r="W55" s="736">
        <f t="shared" si="19"/>
        <v>0.0439301019947484</v>
      </c>
      <c r="X55" s="734">
        <f t="shared" si="20"/>
        <v>3654.935262358176</v>
      </c>
      <c r="Y55" s="735">
        <f t="shared" si="21"/>
        <v>0.038263542210843084</v>
      </c>
      <c r="AA55" s="731">
        <v>863</v>
      </c>
      <c r="AB55" s="736">
        <f t="shared" si="22"/>
        <v>0.05284104824883664</v>
      </c>
      <c r="AC55" s="733">
        <v>137</v>
      </c>
      <c r="AD55" s="736">
        <f t="shared" si="23"/>
        <v>0.013229045963692546</v>
      </c>
      <c r="AE55" s="733">
        <v>75</v>
      </c>
      <c r="AF55" s="736">
        <f t="shared" si="24"/>
        <v>0.022288261515601784</v>
      </c>
      <c r="AG55" s="733">
        <f t="shared" si="25"/>
        <v>1075</v>
      </c>
      <c r="AH55" s="737">
        <f t="shared" si="26"/>
        <v>0.035770139420357366</v>
      </c>
      <c r="AI55" s="738">
        <v>21</v>
      </c>
      <c r="AJ55" s="736">
        <f t="shared" si="27"/>
        <v>0.03925233644859813</v>
      </c>
      <c r="AK55" s="733">
        <v>25</v>
      </c>
      <c r="AL55" s="736">
        <f t="shared" si="28"/>
        <v>0.006375924509053813</v>
      </c>
      <c r="AM55" s="733">
        <v>21</v>
      </c>
      <c r="AN55" s="736">
        <f t="shared" si="29"/>
        <v>0.0967741935483871</v>
      </c>
      <c r="AO55" s="733">
        <f t="shared" si="30"/>
        <v>67</v>
      </c>
      <c r="AP55" s="737">
        <f t="shared" si="31"/>
        <v>0.01433768457093944</v>
      </c>
      <c r="AQ55" s="738">
        <v>17741.82</v>
      </c>
      <c r="AR55" s="736">
        <f t="shared" si="32"/>
        <v>0.03884042701172227</v>
      </c>
      <c r="AS55" s="733">
        <v>21218.82</v>
      </c>
      <c r="AT55" s="736">
        <f t="shared" si="33"/>
        <v>0.022432555393467866</v>
      </c>
      <c r="AU55" s="733">
        <v>3691.3199999999997</v>
      </c>
      <c r="AV55" s="736">
        <f t="shared" si="34"/>
        <v>0.030151857106799868</v>
      </c>
      <c r="AW55" s="733">
        <f t="shared" si="35"/>
        <v>42651.96</v>
      </c>
      <c r="AX55" s="737">
        <f t="shared" si="36"/>
        <v>0.027966558490126508</v>
      </c>
      <c r="AY55" s="739">
        <v>26656.62</v>
      </c>
      <c r="AZ55" s="736">
        <f t="shared" si="37"/>
        <v>0.037820139624235805</v>
      </c>
      <c r="BA55" s="733">
        <v>18090.66</v>
      </c>
      <c r="BB55" s="736">
        <f t="shared" si="38"/>
        <v>0.020734626815090463</v>
      </c>
      <c r="BC55" s="733">
        <v>2346.12</v>
      </c>
      <c r="BD55" s="736">
        <f t="shared" si="39"/>
        <v>0.06524470518743962</v>
      </c>
      <c r="BE55" s="733">
        <f t="shared" si="40"/>
        <v>47093.4</v>
      </c>
      <c r="BF55" s="735">
        <f t="shared" si="41"/>
        <v>0.02919126483877209</v>
      </c>
      <c r="BH55" s="720"/>
    </row>
    <row r="56" spans="1:60" ht="11.25" customHeight="1">
      <c r="A56" s="681">
        <v>51000</v>
      </c>
      <c r="B56" s="682" t="s">
        <v>138</v>
      </c>
      <c r="E56" s="718"/>
      <c r="G56" s="718"/>
      <c r="H56" s="635"/>
      <c r="I56" s="635"/>
      <c r="J56" s="635"/>
      <c r="K56" s="718"/>
      <c r="L56" s="635"/>
      <c r="M56" s="635"/>
      <c r="N56" s="635"/>
      <c r="O56" s="635"/>
      <c r="P56" s="635"/>
      <c r="Q56" s="635"/>
      <c r="R56" s="731">
        <v>841.0222915827806</v>
      </c>
      <c r="S56" s="736">
        <f t="shared" si="17"/>
        <v>0.014715187252415838</v>
      </c>
      <c r="T56" s="733">
        <v>501.61876824066456</v>
      </c>
      <c r="U56" s="736">
        <f t="shared" si="18"/>
        <v>0.015585650699319848</v>
      </c>
      <c r="V56" s="733">
        <v>136.57407407407408</v>
      </c>
      <c r="W56" s="736">
        <f t="shared" si="19"/>
        <v>0.022092078870226888</v>
      </c>
      <c r="X56" s="734">
        <f t="shared" si="20"/>
        <v>1479.2151338975193</v>
      </c>
      <c r="Y56" s="735">
        <f t="shared" si="21"/>
        <v>0.01548591333414949</v>
      </c>
      <c r="AA56" s="731">
        <v>78</v>
      </c>
      <c r="AB56" s="736">
        <f t="shared" si="22"/>
        <v>0.004775900073475386</v>
      </c>
      <c r="AC56" s="733">
        <v>82</v>
      </c>
      <c r="AD56" s="736">
        <f t="shared" si="23"/>
        <v>0.007918115102356122</v>
      </c>
      <c r="AE56" s="733">
        <v>24</v>
      </c>
      <c r="AF56" s="736">
        <f t="shared" si="24"/>
        <v>0.00713224368499257</v>
      </c>
      <c r="AG56" s="733">
        <f t="shared" si="25"/>
        <v>184</v>
      </c>
      <c r="AH56" s="737">
        <f t="shared" si="26"/>
        <v>0.006122516886833261</v>
      </c>
      <c r="AI56" s="738">
        <v>8</v>
      </c>
      <c r="AJ56" s="736">
        <f t="shared" si="27"/>
        <v>0.014953271028037384</v>
      </c>
      <c r="AK56" s="733">
        <v>48</v>
      </c>
      <c r="AL56" s="736">
        <f t="shared" si="28"/>
        <v>0.01224177505738332</v>
      </c>
      <c r="AM56" s="733"/>
      <c r="AN56" s="736">
        <f t="shared" si="29"/>
        <v>0</v>
      </c>
      <c r="AO56" s="733">
        <f t="shared" si="30"/>
        <v>56</v>
      </c>
      <c r="AP56" s="737">
        <f t="shared" si="31"/>
        <v>0.011983736357800128</v>
      </c>
      <c r="AQ56" s="738">
        <v>4422.72</v>
      </c>
      <c r="AR56" s="736">
        <f t="shared" si="32"/>
        <v>0.00968222726604623</v>
      </c>
      <c r="AS56" s="733">
        <v>8245.68</v>
      </c>
      <c r="AT56" s="736">
        <f t="shared" si="33"/>
        <v>0.008717340236488652</v>
      </c>
      <c r="AU56" s="733">
        <v>986.34</v>
      </c>
      <c r="AV56" s="736">
        <f t="shared" si="34"/>
        <v>0.008056733834704384</v>
      </c>
      <c r="AW56" s="733">
        <f t="shared" si="35"/>
        <v>13654.740000000002</v>
      </c>
      <c r="AX56" s="737">
        <f t="shared" si="36"/>
        <v>0.008953306832264451</v>
      </c>
      <c r="AY56" s="739">
        <v>26444.52</v>
      </c>
      <c r="AZ56" s="736">
        <f t="shared" si="37"/>
        <v>0.03751921431508932</v>
      </c>
      <c r="BA56" s="733">
        <v>3163.02</v>
      </c>
      <c r="BB56" s="736">
        <f t="shared" si="38"/>
        <v>0.0036252983201645176</v>
      </c>
      <c r="BC56" s="733">
        <v>437.58</v>
      </c>
      <c r="BD56" s="736">
        <f t="shared" si="39"/>
        <v>0.012168933428775949</v>
      </c>
      <c r="BE56" s="733">
        <f t="shared" si="40"/>
        <v>30045.120000000003</v>
      </c>
      <c r="BF56" s="735">
        <f t="shared" si="41"/>
        <v>0.018623736129323602</v>
      </c>
      <c r="BH56" s="720"/>
    </row>
    <row r="57" spans="1:60" ht="11.25" customHeight="1">
      <c r="A57" s="681">
        <v>52000</v>
      </c>
      <c r="B57" s="682" t="s">
        <v>139</v>
      </c>
      <c r="E57" s="718"/>
      <c r="G57" s="718"/>
      <c r="H57" s="635"/>
      <c r="I57" s="635"/>
      <c r="J57" s="635"/>
      <c r="K57" s="718"/>
      <c r="L57" s="635"/>
      <c r="M57" s="635"/>
      <c r="N57" s="635"/>
      <c r="O57" s="635"/>
      <c r="P57" s="635"/>
      <c r="Q57" s="635"/>
      <c r="R57" s="731">
        <v>0</v>
      </c>
      <c r="S57" s="736">
        <f t="shared" si="17"/>
        <v>0</v>
      </c>
      <c r="T57" s="733">
        <v>496.27628156002186</v>
      </c>
      <c r="U57" s="736">
        <f t="shared" si="18"/>
        <v>0.015419655851155959</v>
      </c>
      <c r="V57" s="733">
        <v>41.3</v>
      </c>
      <c r="W57" s="736">
        <f t="shared" si="19"/>
        <v>0.00668064465035661</v>
      </c>
      <c r="X57" s="734">
        <f t="shared" si="20"/>
        <v>537.5762815600218</v>
      </c>
      <c r="Y57" s="735">
        <f t="shared" si="21"/>
        <v>0.0056278897612398225</v>
      </c>
      <c r="AA57" s="731">
        <v>0</v>
      </c>
      <c r="AB57" s="736">
        <f t="shared" si="22"/>
        <v>0</v>
      </c>
      <c r="AC57" s="733">
        <v>17</v>
      </c>
      <c r="AD57" s="736">
        <f t="shared" si="23"/>
        <v>0.00164156044804944</v>
      </c>
      <c r="AE57" s="733">
        <v>4</v>
      </c>
      <c r="AF57" s="736">
        <f t="shared" si="24"/>
        <v>0.001188707280832095</v>
      </c>
      <c r="AG57" s="733">
        <f t="shared" si="25"/>
        <v>21</v>
      </c>
      <c r="AH57" s="737">
        <f t="shared" si="26"/>
        <v>0.0006987655142581439</v>
      </c>
      <c r="AI57" s="738">
        <v>0</v>
      </c>
      <c r="AJ57" s="736">
        <f t="shared" si="27"/>
        <v>0</v>
      </c>
      <c r="AK57" s="733">
        <v>0</v>
      </c>
      <c r="AL57" s="736">
        <f t="shared" si="28"/>
        <v>0</v>
      </c>
      <c r="AM57" s="733">
        <v>0</v>
      </c>
      <c r="AN57" s="736">
        <f t="shared" si="29"/>
        <v>0</v>
      </c>
      <c r="AO57" s="733">
        <f t="shared" si="30"/>
        <v>0</v>
      </c>
      <c r="AP57" s="737">
        <f t="shared" si="31"/>
        <v>0</v>
      </c>
      <c r="AQ57" s="738">
        <v>0</v>
      </c>
      <c r="AR57" s="736">
        <f t="shared" si="32"/>
        <v>0</v>
      </c>
      <c r="AS57" s="733">
        <v>685</v>
      </c>
      <c r="AT57" s="736">
        <f t="shared" si="33"/>
        <v>0.0007241826098023118</v>
      </c>
      <c r="AU57" s="733">
        <v>0</v>
      </c>
      <c r="AV57" s="736">
        <f t="shared" si="34"/>
        <v>0</v>
      </c>
      <c r="AW57" s="733">
        <f t="shared" si="35"/>
        <v>685</v>
      </c>
      <c r="AX57" s="737">
        <f t="shared" si="36"/>
        <v>0.00044914917311506106</v>
      </c>
      <c r="AY57" s="739">
        <v>0</v>
      </c>
      <c r="AZ57" s="736">
        <f t="shared" si="37"/>
        <v>0</v>
      </c>
      <c r="BA57" s="733">
        <v>3616</v>
      </c>
      <c r="BB57" s="736">
        <f t="shared" si="38"/>
        <v>0.0041444817692315875</v>
      </c>
      <c r="BC57" s="733">
        <v>0</v>
      </c>
      <c r="BD57" s="736">
        <f t="shared" si="39"/>
        <v>0</v>
      </c>
      <c r="BE57" s="733">
        <f t="shared" si="40"/>
        <v>3616</v>
      </c>
      <c r="BF57" s="735">
        <f t="shared" si="41"/>
        <v>0.0022414099142767326</v>
      </c>
      <c r="BH57" s="720"/>
    </row>
    <row r="58" spans="1:60" ht="11.25" customHeight="1">
      <c r="A58" s="681">
        <v>53000</v>
      </c>
      <c r="B58" s="682" t="s">
        <v>69</v>
      </c>
      <c r="E58" s="718"/>
      <c r="G58" s="718"/>
      <c r="H58" s="635"/>
      <c r="I58" s="635"/>
      <c r="J58" s="635"/>
      <c r="K58" s="718"/>
      <c r="L58" s="635"/>
      <c r="M58" s="635"/>
      <c r="N58" s="635"/>
      <c r="O58" s="635"/>
      <c r="P58" s="635"/>
      <c r="Q58" s="635"/>
      <c r="R58" s="731">
        <v>200.60000000000002</v>
      </c>
      <c r="S58" s="736">
        <f t="shared" si="17"/>
        <v>0.003509855318197674</v>
      </c>
      <c r="T58" s="733">
        <v>349.1153206786735</v>
      </c>
      <c r="U58" s="736">
        <f t="shared" si="18"/>
        <v>0.010847260482224001</v>
      </c>
      <c r="V58" s="733">
        <v>49.2</v>
      </c>
      <c r="W58" s="736">
        <f t="shared" si="19"/>
        <v>0.007958540358294073</v>
      </c>
      <c r="X58" s="734">
        <f t="shared" si="20"/>
        <v>598.9153206786737</v>
      </c>
      <c r="Y58" s="735">
        <f t="shared" si="21"/>
        <v>0.006270048580483797</v>
      </c>
      <c r="AA58" s="731">
        <v>17</v>
      </c>
      <c r="AB58" s="736">
        <f t="shared" si="22"/>
        <v>0.0010409012980651482</v>
      </c>
      <c r="AC58" s="733">
        <v>26</v>
      </c>
      <c r="AD58" s="736">
        <f t="shared" si="23"/>
        <v>0.002510621861722673</v>
      </c>
      <c r="AE58" s="733">
        <v>3</v>
      </c>
      <c r="AF58" s="736">
        <f t="shared" si="24"/>
        <v>0.0008915304606240713</v>
      </c>
      <c r="AG58" s="733">
        <f t="shared" si="25"/>
        <v>46</v>
      </c>
      <c r="AH58" s="737">
        <f t="shared" si="26"/>
        <v>0.0015306292217083153</v>
      </c>
      <c r="AI58" s="738"/>
      <c r="AJ58" s="736">
        <f t="shared" si="27"/>
        <v>0</v>
      </c>
      <c r="AK58" s="733">
        <v>14</v>
      </c>
      <c r="AL58" s="736">
        <f t="shared" si="28"/>
        <v>0.003570517725070135</v>
      </c>
      <c r="AM58" s="733"/>
      <c r="AN58" s="736">
        <f t="shared" si="29"/>
        <v>0</v>
      </c>
      <c r="AO58" s="733">
        <f t="shared" si="30"/>
        <v>14</v>
      </c>
      <c r="AP58" s="737">
        <f t="shared" si="31"/>
        <v>0.002995934089450032</v>
      </c>
      <c r="AQ58" s="738">
        <v>1826</v>
      </c>
      <c r="AR58" s="736">
        <f t="shared" si="32"/>
        <v>0.003997482768025201</v>
      </c>
      <c r="AS58" s="733">
        <v>5776</v>
      </c>
      <c r="AT58" s="736">
        <f t="shared" si="33"/>
        <v>0.0061063923419243105</v>
      </c>
      <c r="AU58" s="733">
        <v>0</v>
      </c>
      <c r="AV58" s="736">
        <f t="shared" si="34"/>
        <v>0</v>
      </c>
      <c r="AW58" s="733">
        <f t="shared" si="35"/>
        <v>7602</v>
      </c>
      <c r="AX58" s="737">
        <f t="shared" si="36"/>
        <v>0.004984572283241889</v>
      </c>
      <c r="AY58" s="739">
        <v>0</v>
      </c>
      <c r="AZ58" s="736">
        <f t="shared" si="37"/>
        <v>0</v>
      </c>
      <c r="BA58" s="733">
        <v>7829</v>
      </c>
      <c r="BB58" s="736">
        <f t="shared" si="38"/>
        <v>0.008973215644721819</v>
      </c>
      <c r="BC58" s="733">
        <v>0</v>
      </c>
      <c r="BD58" s="736">
        <f t="shared" si="39"/>
        <v>0</v>
      </c>
      <c r="BE58" s="733">
        <f t="shared" si="40"/>
        <v>7829</v>
      </c>
      <c r="BF58" s="735">
        <f t="shared" si="41"/>
        <v>0.004852875613626255</v>
      </c>
      <c r="BH58" s="720"/>
    </row>
    <row r="59" spans="1:60" ht="11.25" customHeight="1">
      <c r="A59" s="681">
        <v>54000</v>
      </c>
      <c r="B59" s="682" t="s">
        <v>140</v>
      </c>
      <c r="E59" s="718"/>
      <c r="G59" s="718"/>
      <c r="H59" s="635"/>
      <c r="I59" s="635"/>
      <c r="J59" s="635"/>
      <c r="K59" s="718"/>
      <c r="L59" s="635"/>
      <c r="M59" s="635"/>
      <c r="N59" s="635"/>
      <c r="O59" s="635"/>
      <c r="P59" s="635"/>
      <c r="Q59" s="635"/>
      <c r="R59" s="731">
        <v>489.84290269251653</v>
      </c>
      <c r="S59" s="736">
        <f t="shared" si="17"/>
        <v>0.008570676555816125</v>
      </c>
      <c r="T59" s="733">
        <v>402.94052609916855</v>
      </c>
      <c r="U59" s="736">
        <f t="shared" si="18"/>
        <v>0.012519647768380106</v>
      </c>
      <c r="V59" s="733">
        <v>94.4</v>
      </c>
      <c r="W59" s="736">
        <f t="shared" si="19"/>
        <v>0.015270044915100825</v>
      </c>
      <c r="X59" s="734">
        <f t="shared" si="20"/>
        <v>987.1834287916851</v>
      </c>
      <c r="Y59" s="735">
        <f t="shared" si="21"/>
        <v>0.010334830054703651</v>
      </c>
      <c r="AA59" s="731">
        <v>65</v>
      </c>
      <c r="AB59" s="736">
        <f t="shared" si="22"/>
        <v>0.003979916727896155</v>
      </c>
      <c r="AC59" s="733">
        <v>37</v>
      </c>
      <c r="AD59" s="736">
        <f t="shared" si="23"/>
        <v>0.0035728080339899573</v>
      </c>
      <c r="AE59" s="733">
        <v>9</v>
      </c>
      <c r="AF59" s="736">
        <f t="shared" si="24"/>
        <v>0.002674591381872214</v>
      </c>
      <c r="AG59" s="733">
        <f t="shared" si="25"/>
        <v>111</v>
      </c>
      <c r="AH59" s="737">
        <f t="shared" si="26"/>
        <v>0.003693474861078761</v>
      </c>
      <c r="AI59" s="738">
        <v>1</v>
      </c>
      <c r="AJ59" s="736">
        <f t="shared" si="27"/>
        <v>0.001869158878504673</v>
      </c>
      <c r="AK59" s="733">
        <v>0</v>
      </c>
      <c r="AL59" s="736">
        <f t="shared" si="28"/>
        <v>0</v>
      </c>
      <c r="AM59" s="733">
        <v>1</v>
      </c>
      <c r="AN59" s="736">
        <f t="shared" si="29"/>
        <v>0.004608294930875576</v>
      </c>
      <c r="AO59" s="733">
        <f t="shared" si="30"/>
        <v>2</v>
      </c>
      <c r="AP59" s="737">
        <f t="shared" si="31"/>
        <v>0.00042799058420714745</v>
      </c>
      <c r="AQ59" s="738">
        <v>2668.32</v>
      </c>
      <c r="AR59" s="736">
        <f t="shared" si="32"/>
        <v>0.005841491357928261</v>
      </c>
      <c r="AS59" s="733">
        <v>4549.2</v>
      </c>
      <c r="AT59" s="736">
        <f t="shared" si="33"/>
        <v>0.0048094182897995275</v>
      </c>
      <c r="AU59" s="733">
        <v>342.72</v>
      </c>
      <c r="AV59" s="736">
        <f t="shared" si="34"/>
        <v>0.00279944422798415</v>
      </c>
      <c r="AW59" s="733">
        <f t="shared" si="35"/>
        <v>7560.240000000001</v>
      </c>
      <c r="AX59" s="737">
        <f t="shared" si="36"/>
        <v>0.004957190575987459</v>
      </c>
      <c r="AY59" s="739">
        <v>4066.7400000000002</v>
      </c>
      <c r="AZ59" s="736">
        <f t="shared" si="37"/>
        <v>0.005769849088724104</v>
      </c>
      <c r="BA59" s="733">
        <v>3322.14</v>
      </c>
      <c r="BB59" s="736">
        <f t="shared" si="38"/>
        <v>0.0038076738564256155</v>
      </c>
      <c r="BC59" s="733">
        <v>0</v>
      </c>
      <c r="BD59" s="736">
        <f t="shared" si="39"/>
        <v>0</v>
      </c>
      <c r="BE59" s="733">
        <f t="shared" si="40"/>
        <v>7388.88</v>
      </c>
      <c r="BF59" s="735">
        <f t="shared" si="41"/>
        <v>0.0045800632985069315</v>
      </c>
      <c r="BH59" s="720"/>
    </row>
    <row r="60" spans="1:60" ht="11.25" customHeight="1">
      <c r="A60" s="681">
        <v>55000</v>
      </c>
      <c r="B60" s="682" t="s">
        <v>57</v>
      </c>
      <c r="E60" s="718"/>
      <c r="G60" s="718"/>
      <c r="H60" s="635"/>
      <c r="I60" s="635"/>
      <c r="J60" s="635"/>
      <c r="K60" s="718"/>
      <c r="L60" s="635"/>
      <c r="M60" s="635"/>
      <c r="N60" s="635"/>
      <c r="O60" s="635"/>
      <c r="P60" s="635"/>
      <c r="Q60" s="635"/>
      <c r="R60" s="731">
        <v>578.4739131236588</v>
      </c>
      <c r="S60" s="736">
        <f t="shared" si="17"/>
        <v>0.010121434398881819</v>
      </c>
      <c r="T60" s="733">
        <v>0</v>
      </c>
      <c r="U60" s="736">
        <f t="shared" si="18"/>
        <v>0</v>
      </c>
      <c r="V60" s="733">
        <v>0</v>
      </c>
      <c r="W60" s="736">
        <f t="shared" si="19"/>
        <v>0</v>
      </c>
      <c r="X60" s="734">
        <f t="shared" si="20"/>
        <v>578.4739131236588</v>
      </c>
      <c r="Y60" s="735">
        <f t="shared" si="21"/>
        <v>0.00605604734525379</v>
      </c>
      <c r="AA60" s="731">
        <v>43</v>
      </c>
      <c r="AB60" s="736">
        <f t="shared" si="22"/>
        <v>0.0026328679892236103</v>
      </c>
      <c r="AC60" s="733">
        <v>0</v>
      </c>
      <c r="AD60" s="736">
        <f t="shared" si="23"/>
        <v>0</v>
      </c>
      <c r="AE60" s="733">
        <v>0</v>
      </c>
      <c r="AF60" s="736">
        <f t="shared" si="24"/>
        <v>0</v>
      </c>
      <c r="AG60" s="733">
        <f t="shared" si="25"/>
        <v>43</v>
      </c>
      <c r="AH60" s="737">
        <f t="shared" si="26"/>
        <v>0.0014308055768142947</v>
      </c>
      <c r="AI60" s="738">
        <v>0</v>
      </c>
      <c r="AJ60" s="736">
        <f t="shared" si="27"/>
        <v>0</v>
      </c>
      <c r="AK60" s="733">
        <v>0</v>
      </c>
      <c r="AL60" s="736">
        <f t="shared" si="28"/>
        <v>0</v>
      </c>
      <c r="AM60" s="733">
        <v>0</v>
      </c>
      <c r="AN60" s="736">
        <f t="shared" si="29"/>
        <v>0</v>
      </c>
      <c r="AO60" s="733">
        <f t="shared" si="30"/>
        <v>0</v>
      </c>
      <c r="AP60" s="737">
        <f t="shared" si="31"/>
        <v>0</v>
      </c>
      <c r="AQ60" s="738">
        <v>6118.9800000000005</v>
      </c>
      <c r="AR60" s="736">
        <f t="shared" si="32"/>
        <v>0.013395682972557965</v>
      </c>
      <c r="AS60" s="733">
        <v>0</v>
      </c>
      <c r="AT60" s="736">
        <f t="shared" si="33"/>
        <v>0</v>
      </c>
      <c r="AU60" s="733">
        <v>0</v>
      </c>
      <c r="AV60" s="736">
        <f t="shared" si="34"/>
        <v>0</v>
      </c>
      <c r="AW60" s="733">
        <f t="shared" si="35"/>
        <v>6118.9800000000005</v>
      </c>
      <c r="AX60" s="737">
        <f t="shared" si="36"/>
        <v>0.0040121676019089</v>
      </c>
      <c r="AY60" s="739">
        <v>1773.78</v>
      </c>
      <c r="AZ60" s="736">
        <f t="shared" si="37"/>
        <v>0.0025166209092779574</v>
      </c>
      <c r="BA60" s="733">
        <v>0</v>
      </c>
      <c r="BB60" s="736">
        <f t="shared" si="38"/>
        <v>0</v>
      </c>
      <c r="BC60" s="733">
        <v>0</v>
      </c>
      <c r="BD60" s="736">
        <f t="shared" si="39"/>
        <v>0</v>
      </c>
      <c r="BE60" s="733">
        <f t="shared" si="40"/>
        <v>1773.78</v>
      </c>
      <c r="BF60" s="735">
        <f t="shared" si="41"/>
        <v>0.0010994933843323515</v>
      </c>
      <c r="BH60" s="720"/>
    </row>
    <row r="61" spans="1:60" ht="11.25" customHeight="1">
      <c r="A61" s="740">
        <v>56000</v>
      </c>
      <c r="B61" s="741" t="s">
        <v>141</v>
      </c>
      <c r="E61" s="718"/>
      <c r="G61" s="718"/>
      <c r="H61" s="635"/>
      <c r="I61" s="635"/>
      <c r="J61" s="912"/>
      <c r="K61" s="718"/>
      <c r="L61" s="635"/>
      <c r="M61" s="635"/>
      <c r="N61" s="635"/>
      <c r="O61" s="635"/>
      <c r="P61" s="635"/>
      <c r="Q61" s="635"/>
      <c r="R61" s="742">
        <v>347.26048090748793</v>
      </c>
      <c r="S61" s="743">
        <f t="shared" si="17"/>
        <v>0.006075942401361058</v>
      </c>
      <c r="T61" s="744">
        <v>0</v>
      </c>
      <c r="U61" s="743">
        <f t="shared" si="18"/>
        <v>0</v>
      </c>
      <c r="V61" s="744">
        <v>0</v>
      </c>
      <c r="W61" s="743">
        <f>V61/V$35</f>
        <v>0</v>
      </c>
      <c r="X61" s="745">
        <f t="shared" si="20"/>
        <v>347.26048090748793</v>
      </c>
      <c r="Y61" s="746">
        <f t="shared" si="21"/>
        <v>0.0036354723450801292</v>
      </c>
      <c r="AA61" s="742">
        <v>55</v>
      </c>
      <c r="AB61" s="743">
        <f t="shared" si="22"/>
        <v>0.0033676218466813616</v>
      </c>
      <c r="AC61" s="744">
        <v>0</v>
      </c>
      <c r="AD61" s="743">
        <f t="shared" si="23"/>
        <v>0</v>
      </c>
      <c r="AE61" s="744">
        <v>0</v>
      </c>
      <c r="AF61" s="743">
        <f t="shared" si="24"/>
        <v>0</v>
      </c>
      <c r="AG61" s="744">
        <f t="shared" si="25"/>
        <v>55</v>
      </c>
      <c r="AH61" s="747">
        <f t="shared" si="26"/>
        <v>0.001830100156390377</v>
      </c>
      <c r="AI61" s="748">
        <v>0</v>
      </c>
      <c r="AJ61" s="743">
        <f t="shared" si="27"/>
        <v>0</v>
      </c>
      <c r="AK61" s="744">
        <v>0</v>
      </c>
      <c r="AL61" s="743">
        <f t="shared" si="28"/>
        <v>0</v>
      </c>
      <c r="AM61" s="744">
        <v>0</v>
      </c>
      <c r="AN61" s="743">
        <f t="shared" si="29"/>
        <v>0</v>
      </c>
      <c r="AO61" s="744">
        <f t="shared" si="30"/>
        <v>0</v>
      </c>
      <c r="AP61" s="747">
        <f t="shared" si="31"/>
        <v>0</v>
      </c>
      <c r="AQ61" s="749">
        <v>4750.379999999999</v>
      </c>
      <c r="AR61" s="743">
        <f t="shared" si="32"/>
        <v>0.010399541178297672</v>
      </c>
      <c r="AS61" s="744">
        <v>0</v>
      </c>
      <c r="AT61" s="743">
        <f t="shared" si="33"/>
        <v>0</v>
      </c>
      <c r="AU61" s="744">
        <v>0</v>
      </c>
      <c r="AV61" s="743">
        <f t="shared" si="34"/>
        <v>0</v>
      </c>
      <c r="AW61" s="744">
        <f t="shared" si="35"/>
        <v>4750.379999999999</v>
      </c>
      <c r="AX61" s="747">
        <f t="shared" si="36"/>
        <v>0.003114787224791713</v>
      </c>
      <c r="AY61" s="749">
        <v>8166.959999999999</v>
      </c>
      <c r="AZ61" s="743">
        <f t="shared" si="37"/>
        <v>0.011587199258778826</v>
      </c>
      <c r="BA61" s="744">
        <v>0</v>
      </c>
      <c r="BB61" s="743">
        <f t="shared" si="38"/>
        <v>0</v>
      </c>
      <c r="BC61" s="744">
        <v>0</v>
      </c>
      <c r="BD61" s="743">
        <f t="shared" si="39"/>
        <v>0</v>
      </c>
      <c r="BE61" s="744">
        <f t="shared" si="40"/>
        <v>8166.959999999999</v>
      </c>
      <c r="BF61" s="746">
        <f t="shared" si="41"/>
        <v>0.00506236313979577</v>
      </c>
      <c r="BH61" s="720"/>
    </row>
    <row r="62" spans="2:60" ht="11.25" customHeight="1">
      <c r="B62" s="750"/>
      <c r="C62" s="750"/>
      <c r="E62" s="718"/>
      <c r="G62" s="718"/>
      <c r="H62" s="635"/>
      <c r="I62" s="635"/>
      <c r="J62" s="635"/>
      <c r="K62" s="718"/>
      <c r="L62" s="635"/>
      <c r="M62" s="635"/>
      <c r="N62" s="635"/>
      <c r="O62" s="635"/>
      <c r="P62" s="635"/>
      <c r="Q62" s="635"/>
      <c r="R62" s="719"/>
      <c r="AG62" s="718"/>
      <c r="AH62" s="718"/>
      <c r="AI62" s="718"/>
      <c r="AJ62" s="718"/>
      <c r="AK62" s="718"/>
      <c r="AL62" s="718"/>
      <c r="AM62" s="718"/>
      <c r="AN62" s="718"/>
      <c r="AO62" s="718"/>
      <c r="AP62" s="718"/>
      <c r="AQ62" s="718"/>
      <c r="AR62" s="718"/>
      <c r="AS62" s="718"/>
      <c r="AT62" s="718"/>
      <c r="AU62" s="718"/>
      <c r="AV62" s="718"/>
      <c r="AW62" s="718"/>
      <c r="AX62" s="718"/>
      <c r="AY62" s="718"/>
      <c r="AZ62" s="718"/>
      <c r="BA62" s="718"/>
      <c r="BB62" s="718"/>
      <c r="BC62" s="718"/>
      <c r="BD62" s="718"/>
      <c r="BE62" s="718"/>
      <c r="BH62" s="720"/>
    </row>
    <row r="63" spans="1:61" ht="15">
      <c r="A63" s="721">
        <v>2012</v>
      </c>
      <c r="B63" s="741" t="s">
        <v>436</v>
      </c>
      <c r="C63" s="742">
        <f>SUM(C64:C89)</f>
        <v>1951135.1719999998</v>
      </c>
      <c r="D63" s="751">
        <f>SUM(D64:D89)</f>
        <v>1</v>
      </c>
      <c r="E63" s="753">
        <f>SUM(E64:E89)</f>
        <v>482656.9</v>
      </c>
      <c r="F63" s="751">
        <f>SUM(F64:F89)</f>
        <v>1</v>
      </c>
      <c r="G63" s="753">
        <f>SUM(G64:G89)</f>
        <v>4461650.61548</v>
      </c>
      <c r="H63" s="751"/>
      <c r="I63" s="753">
        <f>SUM(I64:I89)</f>
        <v>2565727.0957150003</v>
      </c>
      <c r="J63" s="752"/>
      <c r="K63" s="753">
        <f>SUM(K64:K89)</f>
        <v>4729775.300000001</v>
      </c>
      <c r="L63" s="751"/>
      <c r="M63" s="635"/>
      <c r="N63" s="754">
        <f>SUM(N64:N89)</f>
        <v>1795.3200000000002</v>
      </c>
      <c r="O63" s="755">
        <f>SUM(O64:O89)</f>
        <v>3209.8820000000005</v>
      </c>
      <c r="P63" s="755">
        <f>SUM(P64:P89)</f>
        <v>9303.123000000001</v>
      </c>
      <c r="Q63" s="756">
        <f>SUM(Q64:Q89)</f>
        <v>0.9999999999999999</v>
      </c>
      <c r="R63" s="123"/>
      <c r="S63" s="123"/>
      <c r="T63" s="123"/>
      <c r="U63" s="123"/>
      <c r="V63" s="123"/>
      <c r="W63" s="123"/>
      <c r="X63" s="123"/>
      <c r="Y63" s="123"/>
      <c r="AA63" s="723">
        <f aca="true" t="shared" si="42" ref="AA63:AQ63">SUM(AA64:AA89)</f>
        <v>15516</v>
      </c>
      <c r="AB63" s="724">
        <f t="shared" si="42"/>
        <v>0.9868522815158546</v>
      </c>
      <c r="AC63" s="725">
        <f t="shared" si="42"/>
        <v>10051</v>
      </c>
      <c r="AD63" s="724">
        <f t="shared" si="42"/>
        <v>1.0000000000000002</v>
      </c>
      <c r="AE63" s="725">
        <f t="shared" si="42"/>
        <v>3219</v>
      </c>
      <c r="AF63" s="724">
        <f t="shared" si="42"/>
        <v>1</v>
      </c>
      <c r="AG63" s="725">
        <f t="shared" si="42"/>
        <v>28786</v>
      </c>
      <c r="AH63" s="727">
        <f t="shared" si="42"/>
        <v>0.9999999999999999</v>
      </c>
      <c r="AI63" s="728">
        <f t="shared" si="42"/>
        <v>441</v>
      </c>
      <c r="AJ63" s="724">
        <f t="shared" si="42"/>
        <v>1</v>
      </c>
      <c r="AK63" s="725">
        <f t="shared" si="42"/>
        <v>3639</v>
      </c>
      <c r="AL63" s="724">
        <f t="shared" si="42"/>
        <v>1</v>
      </c>
      <c r="AM63" s="725">
        <f t="shared" si="42"/>
        <v>181</v>
      </c>
      <c r="AN63" s="724">
        <f t="shared" si="42"/>
        <v>0.9999999999999999</v>
      </c>
      <c r="AO63" s="725">
        <f t="shared" si="42"/>
        <v>4261</v>
      </c>
      <c r="AP63" s="727">
        <f t="shared" si="42"/>
        <v>0.9999999999999999</v>
      </c>
      <c r="AQ63" s="728">
        <f t="shared" si="42"/>
        <v>435083.17999999993</v>
      </c>
      <c r="AR63" s="724">
        <f aca="true" t="shared" si="43" ref="AR63:BF63">SUM(AR64:AR89)</f>
        <v>1.0000000000000004</v>
      </c>
      <c r="AS63" s="725">
        <f t="shared" si="43"/>
        <v>936777.7199999997</v>
      </c>
      <c r="AT63" s="724">
        <f t="shared" si="43"/>
        <v>1.0000000000000002</v>
      </c>
      <c r="AU63" s="725">
        <f t="shared" si="43"/>
        <v>117266.15999999997</v>
      </c>
      <c r="AV63" s="724">
        <f t="shared" si="43"/>
        <v>1.0000000000000002</v>
      </c>
      <c r="AW63" s="725">
        <f t="shared" si="43"/>
        <v>1489127.06</v>
      </c>
      <c r="AX63" s="727">
        <f t="shared" si="43"/>
        <v>0.9999999999999998</v>
      </c>
      <c r="AY63" s="753">
        <f t="shared" si="43"/>
        <v>661295.5199999999</v>
      </c>
      <c r="AZ63" s="724">
        <f t="shared" si="43"/>
        <v>1.0000000000000002</v>
      </c>
      <c r="BA63" s="725">
        <f t="shared" si="43"/>
        <v>861432.9999999998</v>
      </c>
      <c r="BB63" s="724">
        <f t="shared" si="43"/>
        <v>1.0000000000000002</v>
      </c>
      <c r="BC63" s="725">
        <f t="shared" si="43"/>
        <v>36985.74</v>
      </c>
      <c r="BD63" s="724">
        <f t="shared" si="43"/>
        <v>1</v>
      </c>
      <c r="BE63" s="725">
        <f t="shared" si="43"/>
        <v>1559714.2600000007</v>
      </c>
      <c r="BF63" s="726">
        <f t="shared" si="43"/>
        <v>0.9999999999999997</v>
      </c>
      <c r="BH63" s="123"/>
      <c r="BI63" s="123"/>
    </row>
    <row r="64" spans="1:60" ht="11.25" customHeight="1">
      <c r="A64" s="729">
        <v>11000</v>
      </c>
      <c r="B64" s="730" t="s">
        <v>121</v>
      </c>
      <c r="C64" s="731">
        <v>544457.828</v>
      </c>
      <c r="D64" s="737">
        <f>C64/$C$63</f>
        <v>0.2790466984621607</v>
      </c>
      <c r="E64" s="739">
        <v>0</v>
      </c>
      <c r="F64" s="737">
        <f>E64/$E$63</f>
        <v>0</v>
      </c>
      <c r="G64" s="739">
        <v>1211730.49721</v>
      </c>
      <c r="H64" s="737">
        <f>G64/$G$63</f>
        <v>0.27158793945133636</v>
      </c>
      <c r="I64" s="910">
        <v>634419.277493</v>
      </c>
      <c r="J64" s="911">
        <f>I64/$I$63</f>
        <v>0.24726685801952142</v>
      </c>
      <c r="K64" s="739">
        <v>1489288</v>
      </c>
      <c r="L64" s="737">
        <f>K64/$K$63</f>
        <v>0.31487500051006645</v>
      </c>
      <c r="M64" s="635"/>
      <c r="N64" s="758">
        <v>458.34</v>
      </c>
      <c r="O64" s="759">
        <v>784.5549999999998</v>
      </c>
      <c r="P64" s="760">
        <f aca="true" t="shared" si="44" ref="P64:P89">N64*2.5+O64*1.5</f>
        <v>2322.6825</v>
      </c>
      <c r="Q64" s="761">
        <f>P64/$P$63</f>
        <v>0.2496669666734493</v>
      </c>
      <c r="R64" s="123"/>
      <c r="S64" s="123"/>
      <c r="T64" s="123"/>
      <c r="U64" s="123"/>
      <c r="V64" s="123"/>
      <c r="W64" s="123"/>
      <c r="X64" s="123"/>
      <c r="Y64" s="123"/>
      <c r="AA64" s="731">
        <v>1502</v>
      </c>
      <c r="AB64" s="736">
        <f>AA64/$AA$63</f>
        <v>0.09680329981954112</v>
      </c>
      <c r="AC64" s="733">
        <v>2288</v>
      </c>
      <c r="AD64" s="736">
        <f>AC64/$AC$63</f>
        <v>0.2276390408914536</v>
      </c>
      <c r="AE64" s="733">
        <v>1238</v>
      </c>
      <c r="AF64" s="736">
        <f>AE64/$AE$63</f>
        <v>0.3845914880397639</v>
      </c>
      <c r="AG64" s="733">
        <v>5028</v>
      </c>
      <c r="AH64" s="737">
        <f>AG64/$AG$63</f>
        <v>0.1746682415062878</v>
      </c>
      <c r="AI64" s="738">
        <v>126</v>
      </c>
      <c r="AJ64" s="736">
        <f>AI64/$AI$63</f>
        <v>0.2857142857142857</v>
      </c>
      <c r="AK64" s="733">
        <v>2206</v>
      </c>
      <c r="AL64" s="736">
        <f>AK64/$AK$63</f>
        <v>0.6062104973893927</v>
      </c>
      <c r="AM64" s="733">
        <v>43</v>
      </c>
      <c r="AN64" s="736">
        <f>AM64/$AM$63</f>
        <v>0.23756906077348067</v>
      </c>
      <c r="AO64" s="733">
        <v>2375</v>
      </c>
      <c r="AP64" s="737">
        <f>AO64/$AO$63</f>
        <v>0.5573808965031682</v>
      </c>
      <c r="AQ64" s="738">
        <v>65609.46</v>
      </c>
      <c r="AR64" s="736">
        <f>AQ64/$AQ$63</f>
        <v>0.15079750957046884</v>
      </c>
      <c r="AS64" s="733">
        <v>164952.36000000002</v>
      </c>
      <c r="AT64" s="736">
        <f>AS64/$AS$63</f>
        <v>0.17608484539961097</v>
      </c>
      <c r="AU64" s="733">
        <v>15306.12</v>
      </c>
      <c r="AV64" s="736">
        <f>AU64/$AU$63</f>
        <v>0.13052461170383683</v>
      </c>
      <c r="AW64" s="733">
        <f aca="true" t="shared" si="45" ref="AW64:AW89">AQ64+AS64+AU64</f>
        <v>245867.94</v>
      </c>
      <c r="AX64" s="737">
        <f>AW64/$AW$63</f>
        <v>0.16510877184650716</v>
      </c>
      <c r="AY64" s="739">
        <v>208446.18</v>
      </c>
      <c r="AZ64" s="736">
        <f>AY64/$AY$63</f>
        <v>0.3152088191978074</v>
      </c>
      <c r="BA64" s="733">
        <v>140078.64</v>
      </c>
      <c r="BB64" s="736">
        <f>BA64/$BA$63</f>
        <v>0.16261118392260343</v>
      </c>
      <c r="BC64" s="733">
        <v>13435.44</v>
      </c>
      <c r="BD64" s="736">
        <f>BC64/$BC$63</f>
        <v>0.36326000236848044</v>
      </c>
      <c r="BE64" s="733">
        <f>AY64+BA64+BC64</f>
        <v>361960.26</v>
      </c>
      <c r="BF64" s="735">
        <f>BE64/$BE$63</f>
        <v>0.23206831487198165</v>
      </c>
      <c r="BH64" s="720"/>
    </row>
    <row r="65" spans="1:60" ht="11.25" customHeight="1">
      <c r="A65" s="681">
        <v>12000</v>
      </c>
      <c r="B65" s="682" t="s">
        <v>122</v>
      </c>
      <c r="C65" s="731">
        <v>75282.803</v>
      </c>
      <c r="D65" s="737">
        <f aca="true" t="shared" si="46" ref="D65:D89">C65/$C$63</f>
        <v>0.03858410431032915</v>
      </c>
      <c r="E65" s="739">
        <v>0</v>
      </c>
      <c r="F65" s="737">
        <f aca="true" t="shared" si="47" ref="F65:F89">E65/$E$63</f>
        <v>0</v>
      </c>
      <c r="G65" s="739">
        <v>143519.39</v>
      </c>
      <c r="H65" s="737">
        <f aca="true" t="shared" si="48" ref="H65:H89">G65/$G$63</f>
        <v>0.03216733051710722</v>
      </c>
      <c r="I65" s="739">
        <v>46035.498060000005</v>
      </c>
      <c r="J65" s="737">
        <f aca="true" t="shared" si="49" ref="J65:J89">I65/$I$63</f>
        <v>0.017942476476505827</v>
      </c>
      <c r="K65" s="739">
        <v>119592.07</v>
      </c>
      <c r="L65" s="737">
        <f aca="true" t="shared" si="50" ref="L65:L89">K65/$K$63</f>
        <v>0.02528493689753084</v>
      </c>
      <c r="M65" s="635"/>
      <c r="N65" s="758">
        <v>52.184</v>
      </c>
      <c r="O65" s="759">
        <v>105.245</v>
      </c>
      <c r="P65" s="760">
        <f t="shared" si="44"/>
        <v>288.3275</v>
      </c>
      <c r="Q65" s="761">
        <f aca="true" t="shared" si="51" ref="Q65:Q89">P65/$P$63</f>
        <v>0.030992549491176236</v>
      </c>
      <c r="R65" s="123"/>
      <c r="S65" s="123"/>
      <c r="T65" s="123"/>
      <c r="U65" s="123"/>
      <c r="V65" s="123"/>
      <c r="W65" s="123"/>
      <c r="X65" s="123"/>
      <c r="Y65" s="123"/>
      <c r="AA65" s="731">
        <v>204</v>
      </c>
      <c r="AB65" s="736"/>
      <c r="AC65" s="733">
        <v>36</v>
      </c>
      <c r="AD65" s="736">
        <f aca="true" t="shared" si="52" ref="AD65:AD89">AC65/$AC$63</f>
        <v>0.0035817331608795143</v>
      </c>
      <c r="AE65" s="733">
        <v>86</v>
      </c>
      <c r="AF65" s="736">
        <f aca="true" t="shared" si="53" ref="AF65:AF89">AE65/$AE$63</f>
        <v>0.02671637154395775</v>
      </c>
      <c r="AG65" s="733">
        <v>326</v>
      </c>
      <c r="AH65" s="737">
        <f aca="true" t="shared" si="54" ref="AH65:AH89">AG65/$AG$63</f>
        <v>0.01132494962829153</v>
      </c>
      <c r="AI65" s="738">
        <v>0</v>
      </c>
      <c r="AJ65" s="736">
        <f aca="true" t="shared" si="55" ref="AJ65:AJ89">AI65/$AI$63</f>
        <v>0</v>
      </c>
      <c r="AK65" s="733">
        <v>0</v>
      </c>
      <c r="AL65" s="736">
        <f aca="true" t="shared" si="56" ref="AL65:AL89">AK65/$AK$63</f>
        <v>0</v>
      </c>
      <c r="AM65" s="733">
        <v>0</v>
      </c>
      <c r="AN65" s="736">
        <f aca="true" t="shared" si="57" ref="AN65:AN89">AM65/$AM$63</f>
        <v>0</v>
      </c>
      <c r="AO65" s="733">
        <v>0</v>
      </c>
      <c r="AP65" s="737">
        <f aca="true" t="shared" si="58" ref="AP65:AP88">AO65/$AO$63</f>
        <v>0</v>
      </c>
      <c r="AQ65" s="738">
        <v>15544.800000000001</v>
      </c>
      <c r="AR65" s="736">
        <f aca="true" t="shared" si="59" ref="AR65:AR89">AQ65/$AQ$63</f>
        <v>0.03572834049801696</v>
      </c>
      <c r="AS65" s="733">
        <v>10353</v>
      </c>
      <c r="AT65" s="736">
        <f aca="true" t="shared" si="60" ref="AT65:AT89">AS65/$AS$63</f>
        <v>0.011051714594578533</v>
      </c>
      <c r="AU65" s="733">
        <v>1238.28</v>
      </c>
      <c r="AV65" s="736">
        <f aca="true" t="shared" si="61" ref="AV65:AV89">AU65/$AU$63</f>
        <v>0.010559568079998529</v>
      </c>
      <c r="AW65" s="733">
        <f t="shared" si="45"/>
        <v>27136.08</v>
      </c>
      <c r="AX65" s="737">
        <f aca="true" t="shared" si="62" ref="AX65:AX89">AW65/$AW$63</f>
        <v>0.018222810349037645</v>
      </c>
      <c r="AY65" s="739">
        <v>6054.72</v>
      </c>
      <c r="AZ65" s="736">
        <f aca="true" t="shared" si="63" ref="AZ65:AZ89">AY65/$AY$63</f>
        <v>0.009155846088296503</v>
      </c>
      <c r="BA65" s="733">
        <v>4237.08</v>
      </c>
      <c r="BB65" s="736">
        <f aca="true" t="shared" si="64" ref="BB65:BB88">BA65/$BA$63</f>
        <v>0.004918641380118943</v>
      </c>
      <c r="BC65" s="733">
        <v>777.24</v>
      </c>
      <c r="BD65" s="736">
        <f aca="true" t="shared" si="65" ref="BD65:BD88">BC65/$BC$63</f>
        <v>0.02101458562137732</v>
      </c>
      <c r="BE65" s="733">
        <f aca="true" t="shared" si="66" ref="BE65:BE89">AY65+BA65+BC65</f>
        <v>11069.039999999999</v>
      </c>
      <c r="BF65" s="735">
        <f aca="true" t="shared" si="67" ref="BF65:BF88">BE65/$BE$63</f>
        <v>0.007096838365765787</v>
      </c>
      <c r="BH65" s="720"/>
    </row>
    <row r="66" spans="1:60" ht="11.25" customHeight="1">
      <c r="A66" s="681">
        <v>13000</v>
      </c>
      <c r="B66" s="682" t="s">
        <v>123</v>
      </c>
      <c r="C66" s="731">
        <v>17112.448</v>
      </c>
      <c r="D66" s="737">
        <f t="shared" si="46"/>
        <v>0.008770508699537709</v>
      </c>
      <c r="E66" s="739">
        <v>26707.5</v>
      </c>
      <c r="F66" s="737">
        <f t="shared" si="47"/>
        <v>0.055334337911671826</v>
      </c>
      <c r="G66" s="739">
        <v>35583</v>
      </c>
      <c r="H66" s="737">
        <f t="shared" si="48"/>
        <v>0.007975299517300248</v>
      </c>
      <c r="I66" s="739">
        <v>32625.6005</v>
      </c>
      <c r="J66" s="737">
        <f t="shared" si="49"/>
        <v>0.012715927798590796</v>
      </c>
      <c r="K66" s="739">
        <v>50886</v>
      </c>
      <c r="L66" s="737">
        <f t="shared" si="50"/>
        <v>0.010758650627652437</v>
      </c>
      <c r="M66" s="635"/>
      <c r="N66" s="758">
        <v>34.834</v>
      </c>
      <c r="O66" s="759">
        <v>86.44600000000001</v>
      </c>
      <c r="P66" s="760">
        <f t="shared" si="44"/>
        <v>216.75400000000002</v>
      </c>
      <c r="Q66" s="761">
        <f t="shared" si="51"/>
        <v>0.02329905774652232</v>
      </c>
      <c r="R66" s="123"/>
      <c r="S66" s="123"/>
      <c r="T66" s="123"/>
      <c r="U66" s="123"/>
      <c r="V66" s="123"/>
      <c r="W66" s="123"/>
      <c r="X66" s="123"/>
      <c r="Y66" s="123"/>
      <c r="AA66" s="731">
        <v>185</v>
      </c>
      <c r="AB66" s="736">
        <f aca="true" t="shared" si="68" ref="AB66:AB89">AA66/$AA$63</f>
        <v>0.011923176076308327</v>
      </c>
      <c r="AC66" s="733">
        <v>30</v>
      </c>
      <c r="AD66" s="736">
        <f t="shared" si="52"/>
        <v>0.0029847776340662623</v>
      </c>
      <c r="AE66" s="733">
        <v>9</v>
      </c>
      <c r="AF66" s="736">
        <f t="shared" si="53"/>
        <v>0.0027958993476234857</v>
      </c>
      <c r="AG66" s="733">
        <v>224</v>
      </c>
      <c r="AH66" s="737">
        <f t="shared" si="54"/>
        <v>0.007781560480789273</v>
      </c>
      <c r="AI66" s="738"/>
      <c r="AJ66" s="736">
        <f t="shared" si="55"/>
        <v>0</v>
      </c>
      <c r="AK66" s="733">
        <v>5</v>
      </c>
      <c r="AL66" s="736">
        <f t="shared" si="56"/>
        <v>0.0013740038472107722</v>
      </c>
      <c r="AM66" s="733"/>
      <c r="AN66" s="736">
        <f t="shared" si="57"/>
        <v>0</v>
      </c>
      <c r="AO66" s="733">
        <v>5</v>
      </c>
      <c r="AP66" s="737">
        <f t="shared" si="58"/>
        <v>0.0011734334663224596</v>
      </c>
      <c r="AQ66" s="738">
        <v>31924.98</v>
      </c>
      <c r="AR66" s="736">
        <f t="shared" si="59"/>
        <v>0.07337672764090766</v>
      </c>
      <c r="AS66" s="733">
        <v>13869.960000000001</v>
      </c>
      <c r="AT66" s="736">
        <f t="shared" si="60"/>
        <v>0.014806031040106296</v>
      </c>
      <c r="AU66" s="733">
        <v>98.94</v>
      </c>
      <c r="AV66" s="736">
        <f t="shared" si="61"/>
        <v>0.0008437216670180044</v>
      </c>
      <c r="AW66" s="733">
        <f t="shared" si="45"/>
        <v>45893.880000000005</v>
      </c>
      <c r="AX66" s="737">
        <f t="shared" si="62"/>
        <v>0.030819317728334076</v>
      </c>
      <c r="AY66" s="739">
        <v>13524.18</v>
      </c>
      <c r="AZ66" s="736">
        <f t="shared" si="63"/>
        <v>0.02045103828920541</v>
      </c>
      <c r="BA66" s="733">
        <v>2086.92</v>
      </c>
      <c r="BB66" s="736">
        <f t="shared" si="64"/>
        <v>0.0024226144111033597</v>
      </c>
      <c r="BC66" s="733">
        <v>0</v>
      </c>
      <c r="BD66" s="736">
        <f t="shared" si="65"/>
        <v>0</v>
      </c>
      <c r="BE66" s="733">
        <f t="shared" si="66"/>
        <v>15611.1</v>
      </c>
      <c r="BF66" s="735">
        <f t="shared" si="67"/>
        <v>0.010008948690383835</v>
      </c>
      <c r="BH66" s="720"/>
    </row>
    <row r="67" spans="1:60" ht="11.25" customHeight="1">
      <c r="A67" s="681">
        <v>14000</v>
      </c>
      <c r="B67" s="682" t="s">
        <v>106</v>
      </c>
      <c r="C67" s="731">
        <v>209251.651</v>
      </c>
      <c r="D67" s="737">
        <f t="shared" si="46"/>
        <v>0.10724610678075565</v>
      </c>
      <c r="E67" s="739">
        <v>0</v>
      </c>
      <c r="F67" s="737">
        <f t="shared" si="47"/>
        <v>0</v>
      </c>
      <c r="G67" s="739">
        <v>495263</v>
      </c>
      <c r="H67" s="737">
        <f t="shared" si="48"/>
        <v>0.11100443371375861</v>
      </c>
      <c r="I67" s="739">
        <v>424375.9878468</v>
      </c>
      <c r="J67" s="737">
        <f t="shared" si="49"/>
        <v>0.16540184205699307</v>
      </c>
      <c r="K67" s="739">
        <v>456323.57</v>
      </c>
      <c r="L67" s="737">
        <f t="shared" si="50"/>
        <v>0.09647891095376136</v>
      </c>
      <c r="M67" s="635"/>
      <c r="N67" s="758">
        <v>159.30599999999995</v>
      </c>
      <c r="O67" s="759">
        <v>255.80600000000004</v>
      </c>
      <c r="P67" s="760">
        <f t="shared" si="44"/>
        <v>781.9739999999999</v>
      </c>
      <c r="Q67" s="761">
        <f t="shared" si="51"/>
        <v>0.08405499959529718</v>
      </c>
      <c r="R67" s="123"/>
      <c r="S67" s="123"/>
      <c r="T67" s="123"/>
      <c r="U67" s="123"/>
      <c r="V67" s="123"/>
      <c r="W67" s="123"/>
      <c r="X67" s="123"/>
      <c r="Y67" s="123"/>
      <c r="AA67" s="731">
        <v>3220</v>
      </c>
      <c r="AB67" s="736">
        <f t="shared" si="68"/>
        <v>0.20752771332817738</v>
      </c>
      <c r="AC67" s="733">
        <v>2726</v>
      </c>
      <c r="AD67" s="736">
        <f t="shared" si="52"/>
        <v>0.271216794348821</v>
      </c>
      <c r="AE67" s="733">
        <v>547</v>
      </c>
      <c r="AF67" s="736">
        <f t="shared" si="53"/>
        <v>0.16992854923889406</v>
      </c>
      <c r="AG67" s="733">
        <v>6493</v>
      </c>
      <c r="AH67" s="737">
        <f t="shared" si="54"/>
        <v>0.2255610366150212</v>
      </c>
      <c r="AI67" s="738">
        <v>1</v>
      </c>
      <c r="AJ67" s="736">
        <f t="shared" si="55"/>
        <v>0.0022675736961451248</v>
      </c>
      <c r="AK67" s="733">
        <v>527</v>
      </c>
      <c r="AL67" s="736">
        <f t="shared" si="56"/>
        <v>0.1448200054960154</v>
      </c>
      <c r="AM67" s="733">
        <v>15</v>
      </c>
      <c r="AN67" s="736">
        <f t="shared" si="57"/>
        <v>0.08287292817679558</v>
      </c>
      <c r="AO67" s="733">
        <v>543</v>
      </c>
      <c r="AP67" s="737">
        <f t="shared" si="58"/>
        <v>0.1274348744426191</v>
      </c>
      <c r="AQ67" s="738">
        <v>76126.92</v>
      </c>
      <c r="AR67" s="736">
        <f t="shared" si="59"/>
        <v>0.17497095612843505</v>
      </c>
      <c r="AS67" s="733">
        <v>168537.59999999998</v>
      </c>
      <c r="AT67" s="736">
        <f t="shared" si="60"/>
        <v>0.179912050000506</v>
      </c>
      <c r="AU67" s="733">
        <v>27103.499999999996</v>
      </c>
      <c r="AV67" s="736">
        <f t="shared" si="61"/>
        <v>0.23112805945039902</v>
      </c>
      <c r="AW67" s="733">
        <f t="shared" si="45"/>
        <v>271768.01999999996</v>
      </c>
      <c r="AX67" s="737">
        <f t="shared" si="62"/>
        <v>0.18250156571595708</v>
      </c>
      <c r="AY67" s="739">
        <v>1448.94</v>
      </c>
      <c r="AZ67" s="736">
        <f t="shared" si="63"/>
        <v>0.0021910627793153663</v>
      </c>
      <c r="BA67" s="733">
        <v>256091.88000000003</v>
      </c>
      <c r="BB67" s="736">
        <f t="shared" si="64"/>
        <v>0.29728589455012766</v>
      </c>
      <c r="BC67" s="733">
        <v>1619.9400000000003</v>
      </c>
      <c r="BD67" s="736">
        <f t="shared" si="65"/>
        <v>0.04379904254991249</v>
      </c>
      <c r="BE67" s="733">
        <f t="shared" si="66"/>
        <v>259160.76000000004</v>
      </c>
      <c r="BF67" s="735">
        <f t="shared" si="67"/>
        <v>0.16615912712114328</v>
      </c>
      <c r="BH67" s="720"/>
    </row>
    <row r="68" spans="1:60" ht="11.25" customHeight="1">
      <c r="A68" s="681">
        <v>15000</v>
      </c>
      <c r="B68" s="682" t="s">
        <v>124</v>
      </c>
      <c r="C68" s="731">
        <v>152563.657</v>
      </c>
      <c r="D68" s="737">
        <f t="shared" si="46"/>
        <v>0.07819225402185515</v>
      </c>
      <c r="E68" s="739">
        <v>1423.9</v>
      </c>
      <c r="F68" s="737">
        <f t="shared" si="47"/>
        <v>0.0029501287560583928</v>
      </c>
      <c r="G68" s="739">
        <v>291018</v>
      </c>
      <c r="H68" s="737">
        <f t="shared" si="48"/>
        <v>0.06522653275231666</v>
      </c>
      <c r="I68" s="739">
        <v>24007.58187</v>
      </c>
      <c r="J68" s="737">
        <f t="shared" si="49"/>
        <v>0.009357028621670194</v>
      </c>
      <c r="K68" s="739">
        <v>290519</v>
      </c>
      <c r="L68" s="737">
        <f t="shared" si="50"/>
        <v>0.06142342533692879</v>
      </c>
      <c r="M68" s="635"/>
      <c r="N68" s="758">
        <v>78.77699999999999</v>
      </c>
      <c r="O68" s="759">
        <v>159.719</v>
      </c>
      <c r="P68" s="760">
        <f t="shared" si="44"/>
        <v>436.52099999999996</v>
      </c>
      <c r="Q68" s="761">
        <f t="shared" si="51"/>
        <v>0.0469219852301211</v>
      </c>
      <c r="R68" s="123"/>
      <c r="S68" s="123"/>
      <c r="T68" s="123"/>
      <c r="U68" s="123"/>
      <c r="V68" s="123"/>
      <c r="W68" s="123"/>
      <c r="X68" s="123"/>
      <c r="Y68" s="123"/>
      <c r="AA68" s="731">
        <v>351</v>
      </c>
      <c r="AB68" s="736">
        <f t="shared" si="68"/>
        <v>0.02262180974477958</v>
      </c>
      <c r="AC68" s="733">
        <v>585</v>
      </c>
      <c r="AD68" s="736">
        <f t="shared" si="52"/>
        <v>0.05820316386429211</v>
      </c>
      <c r="AE68" s="733">
        <v>183</v>
      </c>
      <c r="AF68" s="736">
        <f t="shared" si="53"/>
        <v>0.05684995340167754</v>
      </c>
      <c r="AG68" s="733">
        <v>1119</v>
      </c>
      <c r="AH68" s="737">
        <f t="shared" si="54"/>
        <v>0.038873063294657124</v>
      </c>
      <c r="AI68" s="738"/>
      <c r="AJ68" s="736">
        <f t="shared" si="55"/>
        <v>0</v>
      </c>
      <c r="AK68" s="733">
        <v>272</v>
      </c>
      <c r="AL68" s="736">
        <f t="shared" si="56"/>
        <v>0.074745809288266</v>
      </c>
      <c r="AM68" s="733">
        <v>11</v>
      </c>
      <c r="AN68" s="736">
        <f t="shared" si="57"/>
        <v>0.06077348066298342</v>
      </c>
      <c r="AO68" s="733">
        <v>283</v>
      </c>
      <c r="AP68" s="737">
        <f t="shared" si="58"/>
        <v>0.0664163341938512</v>
      </c>
      <c r="AQ68" s="738">
        <v>39916.68</v>
      </c>
      <c r="AR68" s="736">
        <f t="shared" si="59"/>
        <v>0.09174493943893673</v>
      </c>
      <c r="AS68" s="733">
        <v>65734.92</v>
      </c>
      <c r="AT68" s="736">
        <f t="shared" si="60"/>
        <v>0.07017131022287765</v>
      </c>
      <c r="AU68" s="733">
        <v>7255.26</v>
      </c>
      <c r="AV68" s="736">
        <f t="shared" si="61"/>
        <v>0.0618700228608151</v>
      </c>
      <c r="AW68" s="733">
        <f t="shared" si="45"/>
        <v>112906.86</v>
      </c>
      <c r="AX68" s="737">
        <f t="shared" si="62"/>
        <v>0.07582083694053615</v>
      </c>
      <c r="AY68" s="739">
        <v>31872.96</v>
      </c>
      <c r="AZ68" s="736">
        <f t="shared" si="63"/>
        <v>0.048197755823296676</v>
      </c>
      <c r="BA68" s="733">
        <v>25071.600000000002</v>
      </c>
      <c r="BB68" s="736">
        <f t="shared" si="64"/>
        <v>0.029104526991652294</v>
      </c>
      <c r="BC68" s="733">
        <v>2484.7200000000003</v>
      </c>
      <c r="BD68" s="736">
        <f t="shared" si="65"/>
        <v>0.067180486317159</v>
      </c>
      <c r="BE68" s="733">
        <f t="shared" si="66"/>
        <v>59429.28</v>
      </c>
      <c r="BF68" s="735">
        <f t="shared" si="67"/>
        <v>0.038102671447012335</v>
      </c>
      <c r="BH68" s="720"/>
    </row>
    <row r="69" spans="1:60" ht="11.25" customHeight="1">
      <c r="A69" s="681">
        <v>16000</v>
      </c>
      <c r="B69" s="682" t="s">
        <v>40</v>
      </c>
      <c r="C69" s="731">
        <v>19244.402</v>
      </c>
      <c r="D69" s="737">
        <f t="shared" si="46"/>
        <v>0.009863182354646212</v>
      </c>
      <c r="E69" s="739">
        <v>0</v>
      </c>
      <c r="F69" s="737">
        <f t="shared" si="47"/>
        <v>0</v>
      </c>
      <c r="G69" s="739">
        <v>29437</v>
      </c>
      <c r="H69" s="737">
        <f t="shared" si="48"/>
        <v>0.00659778242112153</v>
      </c>
      <c r="I69" s="739">
        <v>0</v>
      </c>
      <c r="J69" s="737">
        <f t="shared" si="49"/>
        <v>0</v>
      </c>
      <c r="K69" s="739">
        <v>77648</v>
      </c>
      <c r="L69" s="737">
        <f t="shared" si="50"/>
        <v>0.016416847540304924</v>
      </c>
      <c r="M69" s="635"/>
      <c r="N69" s="758">
        <v>31.05</v>
      </c>
      <c r="O69" s="759">
        <v>39.748000000000005</v>
      </c>
      <c r="P69" s="760">
        <f t="shared" si="44"/>
        <v>137.247</v>
      </c>
      <c r="Q69" s="761">
        <f t="shared" si="51"/>
        <v>0.014752787854143173</v>
      </c>
      <c r="R69" s="123"/>
      <c r="S69" s="123"/>
      <c r="T69" s="123"/>
      <c r="U69" s="123"/>
      <c r="V69" s="123"/>
      <c r="W69" s="123"/>
      <c r="X69" s="123"/>
      <c r="Y69" s="123"/>
      <c r="AA69" s="731">
        <v>24</v>
      </c>
      <c r="AB69" s="736">
        <f t="shared" si="68"/>
        <v>0.0015467904098994587</v>
      </c>
      <c r="AC69" s="733">
        <v>368</v>
      </c>
      <c r="AD69" s="736">
        <f t="shared" si="52"/>
        <v>0.036613272311212815</v>
      </c>
      <c r="AE69" s="733">
        <v>43</v>
      </c>
      <c r="AF69" s="736">
        <f t="shared" si="53"/>
        <v>0.013358185771978875</v>
      </c>
      <c r="AG69" s="733">
        <v>435</v>
      </c>
      <c r="AH69" s="737">
        <f t="shared" si="54"/>
        <v>0.015111512540818453</v>
      </c>
      <c r="AI69" s="738"/>
      <c r="AJ69" s="736">
        <f t="shared" si="55"/>
        <v>0</v>
      </c>
      <c r="AK69" s="733">
        <v>274</v>
      </c>
      <c r="AL69" s="736">
        <f t="shared" si="56"/>
        <v>0.07529541082715031</v>
      </c>
      <c r="AM69" s="733"/>
      <c r="AN69" s="736">
        <f t="shared" si="57"/>
        <v>0</v>
      </c>
      <c r="AO69" s="733">
        <v>274</v>
      </c>
      <c r="AP69" s="737">
        <f t="shared" si="58"/>
        <v>0.06430415395447078</v>
      </c>
      <c r="AQ69" s="738">
        <v>280.5</v>
      </c>
      <c r="AR69" s="736">
        <f t="shared" si="59"/>
        <v>0.0006447043068867889</v>
      </c>
      <c r="AS69" s="733">
        <v>7624.5</v>
      </c>
      <c r="AT69" s="736">
        <f t="shared" si="60"/>
        <v>0.008139070600440841</v>
      </c>
      <c r="AU69" s="733">
        <v>2201.16</v>
      </c>
      <c r="AV69" s="736">
        <f t="shared" si="61"/>
        <v>0.018770632550771684</v>
      </c>
      <c r="AW69" s="733">
        <f t="shared" si="45"/>
        <v>10106.16</v>
      </c>
      <c r="AX69" s="737">
        <f t="shared" si="62"/>
        <v>0.006786633774555141</v>
      </c>
      <c r="AY69" s="739">
        <v>0</v>
      </c>
      <c r="AZ69" s="736">
        <f t="shared" si="63"/>
        <v>0</v>
      </c>
      <c r="BA69" s="733">
        <v>11113.92</v>
      </c>
      <c r="BB69" s="736">
        <f t="shared" si="64"/>
        <v>0.01290166501631584</v>
      </c>
      <c r="BC69" s="733">
        <v>324.36</v>
      </c>
      <c r="BD69" s="736">
        <f t="shared" si="65"/>
        <v>0.008769866440417308</v>
      </c>
      <c r="BE69" s="733">
        <f t="shared" si="66"/>
        <v>11438.28</v>
      </c>
      <c r="BF69" s="735">
        <f t="shared" si="67"/>
        <v>0.007333574035541609</v>
      </c>
      <c r="BH69" s="720"/>
    </row>
    <row r="70" spans="1:60" ht="11.25" customHeight="1">
      <c r="A70" s="681">
        <v>17000</v>
      </c>
      <c r="B70" s="682" t="s">
        <v>125</v>
      </c>
      <c r="C70" s="731">
        <v>28607.299</v>
      </c>
      <c r="D70" s="737">
        <f t="shared" si="46"/>
        <v>0.014661874487494505</v>
      </c>
      <c r="E70" s="739">
        <v>32291.4</v>
      </c>
      <c r="F70" s="737">
        <f t="shared" si="47"/>
        <v>0.06690342560108434</v>
      </c>
      <c r="G70" s="739">
        <v>36462.72827</v>
      </c>
      <c r="H70" s="737">
        <f t="shared" si="48"/>
        <v>0.00817247503502181</v>
      </c>
      <c r="I70" s="739">
        <v>10768.77912</v>
      </c>
      <c r="J70" s="737">
        <f t="shared" si="49"/>
        <v>0.004197164670391036</v>
      </c>
      <c r="K70" s="739">
        <v>59700.729999999996</v>
      </c>
      <c r="L70" s="737">
        <f t="shared" si="50"/>
        <v>0.012622318442907845</v>
      </c>
      <c r="M70" s="635"/>
      <c r="N70" s="758">
        <v>34.384</v>
      </c>
      <c r="O70" s="759">
        <v>91.496</v>
      </c>
      <c r="P70" s="760">
        <f t="shared" si="44"/>
        <v>223.204</v>
      </c>
      <c r="Q70" s="761">
        <f t="shared" si="51"/>
        <v>0.023992373313778608</v>
      </c>
      <c r="R70" s="123"/>
      <c r="S70" s="123"/>
      <c r="T70" s="123"/>
      <c r="U70" s="123"/>
      <c r="V70" s="123"/>
      <c r="W70" s="123"/>
      <c r="X70" s="123"/>
      <c r="Y70" s="123"/>
      <c r="AA70" s="731">
        <v>203</v>
      </c>
      <c r="AB70" s="736">
        <f t="shared" si="68"/>
        <v>0.01308326888373292</v>
      </c>
      <c r="AC70" s="733">
        <v>103</v>
      </c>
      <c r="AD70" s="736">
        <f t="shared" si="52"/>
        <v>0.0102477365436275</v>
      </c>
      <c r="AE70" s="733">
        <v>38</v>
      </c>
      <c r="AF70" s="736">
        <f t="shared" si="53"/>
        <v>0.011804908356632494</v>
      </c>
      <c r="AG70" s="733">
        <v>344</v>
      </c>
      <c r="AH70" s="737">
        <f t="shared" si="54"/>
        <v>0.011950253595497812</v>
      </c>
      <c r="AI70" s="738">
        <v>131</v>
      </c>
      <c r="AJ70" s="736">
        <f t="shared" si="55"/>
        <v>0.29705215419501135</v>
      </c>
      <c r="AK70" s="733">
        <v>0</v>
      </c>
      <c r="AL70" s="736">
        <f t="shared" si="56"/>
        <v>0</v>
      </c>
      <c r="AM70" s="733"/>
      <c r="AN70" s="736">
        <f t="shared" si="57"/>
        <v>0</v>
      </c>
      <c r="AO70" s="733">
        <v>131</v>
      </c>
      <c r="AP70" s="737">
        <f t="shared" si="58"/>
        <v>0.030743956817648438</v>
      </c>
      <c r="AQ70" s="738">
        <v>18893.219999999998</v>
      </c>
      <c r="AR70" s="736">
        <f t="shared" si="59"/>
        <v>0.04342438611393803</v>
      </c>
      <c r="AS70" s="733">
        <v>18246.84</v>
      </c>
      <c r="AT70" s="736">
        <f t="shared" si="60"/>
        <v>0.019478302707711715</v>
      </c>
      <c r="AU70" s="733">
        <v>2109</v>
      </c>
      <c r="AV70" s="736">
        <f t="shared" si="61"/>
        <v>0.01798472807500476</v>
      </c>
      <c r="AW70" s="733">
        <f t="shared" si="45"/>
        <v>39249.06</v>
      </c>
      <c r="AX70" s="737">
        <f t="shared" si="62"/>
        <v>0.026357092725183568</v>
      </c>
      <c r="AY70" s="739">
        <v>24474.659999999996</v>
      </c>
      <c r="AZ70" s="736">
        <f t="shared" si="63"/>
        <v>0.037010170581527606</v>
      </c>
      <c r="BA70" s="733">
        <v>2002.9799999999998</v>
      </c>
      <c r="BB70" s="736">
        <f t="shared" si="64"/>
        <v>0.002325172125980779</v>
      </c>
      <c r="BC70" s="733">
        <v>0</v>
      </c>
      <c r="BD70" s="736">
        <f t="shared" si="65"/>
        <v>0</v>
      </c>
      <c r="BE70" s="733">
        <f t="shared" si="66"/>
        <v>26477.639999999996</v>
      </c>
      <c r="BF70" s="735">
        <f t="shared" si="67"/>
        <v>0.01697595558304377</v>
      </c>
      <c r="BH70" s="720"/>
    </row>
    <row r="71" spans="1:60" ht="11.25" customHeight="1">
      <c r="A71" s="681">
        <v>18000</v>
      </c>
      <c r="B71" s="682" t="s">
        <v>126</v>
      </c>
      <c r="C71" s="731">
        <v>14349.247</v>
      </c>
      <c r="D71" s="737">
        <f t="shared" si="46"/>
        <v>0.0073543069726385935</v>
      </c>
      <c r="E71" s="739">
        <v>0</v>
      </c>
      <c r="F71" s="737">
        <f t="shared" si="47"/>
        <v>0</v>
      </c>
      <c r="G71" s="739">
        <v>12711</v>
      </c>
      <c r="H71" s="737">
        <f t="shared" si="48"/>
        <v>0.0028489456247197667</v>
      </c>
      <c r="I71" s="739">
        <v>4708</v>
      </c>
      <c r="J71" s="737">
        <f t="shared" si="49"/>
        <v>0.0018349574309219371</v>
      </c>
      <c r="K71" s="739">
        <v>41189</v>
      </c>
      <c r="L71" s="737">
        <f t="shared" si="50"/>
        <v>0.008708447523923598</v>
      </c>
      <c r="M71" s="635"/>
      <c r="N71" s="758">
        <v>32.244</v>
      </c>
      <c r="O71" s="759">
        <v>67.38499999999999</v>
      </c>
      <c r="P71" s="760">
        <f t="shared" si="44"/>
        <v>181.6875</v>
      </c>
      <c r="Q71" s="761">
        <f t="shared" si="51"/>
        <v>0.01952973211253898</v>
      </c>
      <c r="R71" s="123"/>
      <c r="S71" s="123"/>
      <c r="T71" s="123"/>
      <c r="U71" s="123"/>
      <c r="V71" s="123"/>
      <c r="W71" s="123"/>
      <c r="X71" s="123"/>
      <c r="Y71" s="123"/>
      <c r="AA71" s="731">
        <v>80</v>
      </c>
      <c r="AB71" s="736">
        <f t="shared" si="68"/>
        <v>0.005155968032998196</v>
      </c>
      <c r="AC71" s="733">
        <v>19</v>
      </c>
      <c r="AD71" s="736">
        <f t="shared" si="52"/>
        <v>0.001890359168241966</v>
      </c>
      <c r="AE71" s="733">
        <v>7</v>
      </c>
      <c r="AF71" s="736">
        <f t="shared" si="53"/>
        <v>0.0021745883814849334</v>
      </c>
      <c r="AG71" s="733">
        <v>106</v>
      </c>
      <c r="AH71" s="737">
        <f t="shared" si="54"/>
        <v>0.003682345584659209</v>
      </c>
      <c r="AI71" s="738">
        <v>7</v>
      </c>
      <c r="AJ71" s="736">
        <f t="shared" si="55"/>
        <v>0.015873015873015872</v>
      </c>
      <c r="AK71" s="733">
        <v>4</v>
      </c>
      <c r="AL71" s="736">
        <f t="shared" si="56"/>
        <v>0.0010992030777686177</v>
      </c>
      <c r="AM71" s="733">
        <v>2</v>
      </c>
      <c r="AN71" s="736">
        <f t="shared" si="57"/>
        <v>0.011049723756906077</v>
      </c>
      <c r="AO71" s="733">
        <v>13</v>
      </c>
      <c r="AP71" s="737">
        <f t="shared" si="58"/>
        <v>0.0030509270124383947</v>
      </c>
      <c r="AQ71" s="738">
        <v>17558.28</v>
      </c>
      <c r="AR71" s="736">
        <f t="shared" si="59"/>
        <v>0.040356145231815216</v>
      </c>
      <c r="AS71" s="733">
        <v>10460.1</v>
      </c>
      <c r="AT71" s="736">
        <f t="shared" si="60"/>
        <v>0.011166042676591416</v>
      </c>
      <c r="AU71" s="733">
        <v>148.92000000000002</v>
      </c>
      <c r="AV71" s="736">
        <f t="shared" si="61"/>
        <v>0.0012699315812848314</v>
      </c>
      <c r="AW71" s="733">
        <f t="shared" si="45"/>
        <v>28167.299999999996</v>
      </c>
      <c r="AX71" s="737">
        <f t="shared" si="62"/>
        <v>0.018915310020623757</v>
      </c>
      <c r="AY71" s="739">
        <v>3069.18</v>
      </c>
      <c r="AZ71" s="736">
        <f t="shared" si="63"/>
        <v>0.004641162547116605</v>
      </c>
      <c r="BA71" s="733">
        <v>12931.56</v>
      </c>
      <c r="BB71" s="736">
        <f t="shared" si="64"/>
        <v>0.015011684019534895</v>
      </c>
      <c r="BC71" s="733">
        <v>575.28</v>
      </c>
      <c r="BD71" s="736">
        <f t="shared" si="65"/>
        <v>0.015554102743381638</v>
      </c>
      <c r="BE71" s="733">
        <f t="shared" si="66"/>
        <v>16576.02</v>
      </c>
      <c r="BF71" s="735">
        <f t="shared" si="67"/>
        <v>0.010627600468306287</v>
      </c>
      <c r="BH71" s="720"/>
    </row>
    <row r="72" spans="1:60" ht="11.25" customHeight="1">
      <c r="A72" s="681">
        <v>19000</v>
      </c>
      <c r="B72" s="682" t="s">
        <v>127</v>
      </c>
      <c r="C72" s="731">
        <v>14907.248</v>
      </c>
      <c r="D72" s="737">
        <f t="shared" si="46"/>
        <v>0.007640294846778561</v>
      </c>
      <c r="E72" s="739">
        <v>12283</v>
      </c>
      <c r="F72" s="737">
        <f t="shared" si="47"/>
        <v>0.025448719369804928</v>
      </c>
      <c r="G72" s="739">
        <v>16531</v>
      </c>
      <c r="H72" s="737">
        <f t="shared" si="48"/>
        <v>0.0037051309985243067</v>
      </c>
      <c r="I72" s="739">
        <v>1379</v>
      </c>
      <c r="J72" s="737">
        <f t="shared" si="49"/>
        <v>0.0005374694768991825</v>
      </c>
      <c r="K72" s="739">
        <v>43242</v>
      </c>
      <c r="L72" s="737">
        <f t="shared" si="50"/>
        <v>0.00914250619897313</v>
      </c>
      <c r="M72" s="635"/>
      <c r="N72" s="758">
        <v>17.732999999999997</v>
      </c>
      <c r="O72" s="759">
        <v>41.976</v>
      </c>
      <c r="P72" s="760">
        <f t="shared" si="44"/>
        <v>107.2965</v>
      </c>
      <c r="Q72" s="761">
        <f t="shared" si="51"/>
        <v>0.011533385079397529</v>
      </c>
      <c r="R72" s="123"/>
      <c r="S72" s="123"/>
      <c r="T72" s="123"/>
      <c r="U72" s="123"/>
      <c r="V72" s="123"/>
      <c r="W72" s="123"/>
      <c r="X72" s="123"/>
      <c r="Y72" s="123"/>
      <c r="AA72" s="731">
        <v>385</v>
      </c>
      <c r="AB72" s="736">
        <f t="shared" si="68"/>
        <v>0.024813096158803817</v>
      </c>
      <c r="AC72" s="733">
        <v>130</v>
      </c>
      <c r="AD72" s="736">
        <f t="shared" si="52"/>
        <v>0.012934036414287135</v>
      </c>
      <c r="AE72" s="733">
        <v>27</v>
      </c>
      <c r="AF72" s="736">
        <f t="shared" si="53"/>
        <v>0.008387698042870456</v>
      </c>
      <c r="AG72" s="733">
        <v>542</v>
      </c>
      <c r="AH72" s="737">
        <f t="shared" si="54"/>
        <v>0.0188285972347669</v>
      </c>
      <c r="AI72" s="738">
        <v>0</v>
      </c>
      <c r="AJ72" s="736">
        <f t="shared" si="55"/>
        <v>0</v>
      </c>
      <c r="AK72" s="733">
        <v>0</v>
      </c>
      <c r="AL72" s="736">
        <f t="shared" si="56"/>
        <v>0</v>
      </c>
      <c r="AM72" s="733">
        <v>0</v>
      </c>
      <c r="AN72" s="736">
        <f t="shared" si="57"/>
        <v>0</v>
      </c>
      <c r="AO72" s="733">
        <v>0</v>
      </c>
      <c r="AP72" s="737">
        <f t="shared" si="58"/>
        <v>0</v>
      </c>
      <c r="AQ72" s="738">
        <v>8474.16</v>
      </c>
      <c r="AR72" s="736">
        <f t="shared" si="59"/>
        <v>0.019477103205874337</v>
      </c>
      <c r="AS72" s="733">
        <v>8168.16</v>
      </c>
      <c r="AT72" s="736">
        <f t="shared" si="60"/>
        <v>0.008719421721515753</v>
      </c>
      <c r="AU72" s="733">
        <v>582.42</v>
      </c>
      <c r="AV72" s="736">
        <f t="shared" si="61"/>
        <v>0.004966650225435881</v>
      </c>
      <c r="AW72" s="733">
        <f t="shared" si="45"/>
        <v>17224.739999999998</v>
      </c>
      <c r="AX72" s="737">
        <f t="shared" si="62"/>
        <v>0.011567004900172855</v>
      </c>
      <c r="AY72" s="739">
        <v>4652.22</v>
      </c>
      <c r="AZ72" s="736">
        <f t="shared" si="63"/>
        <v>0.007035009098504102</v>
      </c>
      <c r="BA72" s="733">
        <v>0</v>
      </c>
      <c r="BB72" s="736">
        <f t="shared" si="64"/>
        <v>0</v>
      </c>
      <c r="BC72" s="733">
        <v>86.7</v>
      </c>
      <c r="BD72" s="736">
        <f t="shared" si="65"/>
        <v>0.0023441466900486515</v>
      </c>
      <c r="BE72" s="733">
        <f t="shared" si="66"/>
        <v>4738.92</v>
      </c>
      <c r="BF72" s="735">
        <f t="shared" si="67"/>
        <v>0.0030383257507692455</v>
      </c>
      <c r="BH72" s="720"/>
    </row>
    <row r="73" spans="1:60" ht="11.25" customHeight="1">
      <c r="A73" s="681">
        <v>21000</v>
      </c>
      <c r="B73" s="682" t="s">
        <v>128</v>
      </c>
      <c r="C73" s="731">
        <v>235606.373</v>
      </c>
      <c r="D73" s="737">
        <f t="shared" si="46"/>
        <v>0.12075348565342761</v>
      </c>
      <c r="E73" s="739">
        <v>16248.8</v>
      </c>
      <c r="F73" s="737">
        <f t="shared" si="47"/>
        <v>0.03366532209526062</v>
      </c>
      <c r="G73" s="739">
        <v>719539</v>
      </c>
      <c r="H73" s="737">
        <f t="shared" si="48"/>
        <v>0.16127192871255103</v>
      </c>
      <c r="I73" s="739">
        <v>525559.539046</v>
      </c>
      <c r="J73" s="737">
        <f t="shared" si="49"/>
        <v>0.20483844128384995</v>
      </c>
      <c r="K73" s="739">
        <v>551915</v>
      </c>
      <c r="L73" s="737">
        <f t="shared" si="50"/>
        <v>0.11668947571357141</v>
      </c>
      <c r="M73" s="635"/>
      <c r="N73" s="758">
        <v>165.13700000000003</v>
      </c>
      <c r="O73" s="759">
        <v>277.552</v>
      </c>
      <c r="P73" s="760">
        <f t="shared" si="44"/>
        <v>829.1705000000002</v>
      </c>
      <c r="Q73" s="761">
        <f t="shared" si="51"/>
        <v>0.08912818845886485</v>
      </c>
      <c r="R73" s="123"/>
      <c r="S73" s="123"/>
      <c r="T73" s="123"/>
      <c r="U73" s="123"/>
      <c r="V73" s="123"/>
      <c r="W73" s="123"/>
      <c r="X73" s="123"/>
      <c r="Y73" s="123"/>
      <c r="AA73" s="731">
        <v>1502</v>
      </c>
      <c r="AB73" s="736">
        <f t="shared" si="68"/>
        <v>0.09680329981954112</v>
      </c>
      <c r="AC73" s="733">
        <v>463</v>
      </c>
      <c r="AD73" s="736">
        <f t="shared" si="52"/>
        <v>0.046065068152422645</v>
      </c>
      <c r="AE73" s="733">
        <v>211</v>
      </c>
      <c r="AF73" s="736">
        <f t="shared" si="53"/>
        <v>0.06554830692761728</v>
      </c>
      <c r="AG73" s="733">
        <v>2176</v>
      </c>
      <c r="AH73" s="737">
        <f t="shared" si="54"/>
        <v>0.0755923018133815</v>
      </c>
      <c r="AI73" s="738">
        <v>51</v>
      </c>
      <c r="AJ73" s="736">
        <f t="shared" si="55"/>
        <v>0.11564625850340136</v>
      </c>
      <c r="AK73" s="733">
        <v>89</v>
      </c>
      <c r="AL73" s="736">
        <f t="shared" si="56"/>
        <v>0.024457268480351745</v>
      </c>
      <c r="AM73" s="733">
        <v>10</v>
      </c>
      <c r="AN73" s="736">
        <f t="shared" si="57"/>
        <v>0.055248618784530384</v>
      </c>
      <c r="AO73" s="733">
        <v>150</v>
      </c>
      <c r="AP73" s="737">
        <f t="shared" si="58"/>
        <v>0.035203003989673784</v>
      </c>
      <c r="AQ73" s="738">
        <v>12215.52</v>
      </c>
      <c r="AR73" s="736">
        <f t="shared" si="59"/>
        <v>0.02807628647009522</v>
      </c>
      <c r="AS73" s="733">
        <v>64338.54</v>
      </c>
      <c r="AT73" s="736">
        <f t="shared" si="60"/>
        <v>0.06868068980120494</v>
      </c>
      <c r="AU73" s="733">
        <v>8001.900000000001</v>
      </c>
      <c r="AV73" s="736">
        <f t="shared" si="61"/>
        <v>0.06823707709027056</v>
      </c>
      <c r="AW73" s="733">
        <f t="shared" si="45"/>
        <v>84555.95999999999</v>
      </c>
      <c r="AX73" s="737">
        <f t="shared" si="62"/>
        <v>0.05678223320983771</v>
      </c>
      <c r="AY73" s="739">
        <v>70345.32</v>
      </c>
      <c r="AZ73" s="736">
        <f t="shared" si="63"/>
        <v>0.10637501370038015</v>
      </c>
      <c r="BA73" s="733">
        <v>76556.1</v>
      </c>
      <c r="BB73" s="736">
        <f t="shared" si="64"/>
        <v>0.08887063764680483</v>
      </c>
      <c r="BC73" s="733">
        <v>4659.36</v>
      </c>
      <c r="BD73" s="736">
        <f t="shared" si="65"/>
        <v>0.12597720094284987</v>
      </c>
      <c r="BE73" s="733">
        <f t="shared" si="66"/>
        <v>151560.78</v>
      </c>
      <c r="BF73" s="735">
        <f t="shared" si="67"/>
        <v>0.09717214485171145</v>
      </c>
      <c r="BH73" s="720"/>
    </row>
    <row r="74" spans="1:60" ht="11.25" customHeight="1">
      <c r="A74" s="681">
        <v>22000</v>
      </c>
      <c r="B74" s="682" t="s">
        <v>46</v>
      </c>
      <c r="C74" s="731">
        <v>86497.327</v>
      </c>
      <c r="D74" s="737">
        <f t="shared" si="46"/>
        <v>0.04433179630057943</v>
      </c>
      <c r="E74" s="739">
        <v>0</v>
      </c>
      <c r="F74" s="737">
        <f t="shared" si="47"/>
        <v>0</v>
      </c>
      <c r="G74" s="739">
        <v>193672</v>
      </c>
      <c r="H74" s="737">
        <f t="shared" si="48"/>
        <v>0.04340815018729657</v>
      </c>
      <c r="I74" s="739">
        <v>156760.01511120002</v>
      </c>
      <c r="J74" s="737">
        <f t="shared" si="49"/>
        <v>0.06109769638906789</v>
      </c>
      <c r="K74" s="739">
        <v>141296</v>
      </c>
      <c r="L74" s="737">
        <f t="shared" si="50"/>
        <v>0.02987372359951222</v>
      </c>
      <c r="M74" s="635"/>
      <c r="N74" s="758">
        <v>66.65400000000001</v>
      </c>
      <c r="O74" s="759">
        <v>103.56500000000001</v>
      </c>
      <c r="P74" s="760">
        <f t="shared" si="44"/>
        <v>321.9825000000001</v>
      </c>
      <c r="Q74" s="761">
        <f t="shared" si="51"/>
        <v>0.03461015188125536</v>
      </c>
      <c r="R74" s="123"/>
      <c r="S74" s="123"/>
      <c r="T74" s="123"/>
      <c r="U74" s="123"/>
      <c r="V74" s="123"/>
      <c r="W74" s="123"/>
      <c r="X74" s="123"/>
      <c r="Y74" s="123"/>
      <c r="AA74" s="731">
        <v>326</v>
      </c>
      <c r="AB74" s="736">
        <f t="shared" si="68"/>
        <v>0.021010569734467646</v>
      </c>
      <c r="AC74" s="733">
        <v>94</v>
      </c>
      <c r="AD74" s="736">
        <f t="shared" si="52"/>
        <v>0.00935230325340762</v>
      </c>
      <c r="AE74" s="733">
        <v>74</v>
      </c>
      <c r="AF74" s="736">
        <f t="shared" si="53"/>
        <v>0.022988505747126436</v>
      </c>
      <c r="AG74" s="733">
        <v>494</v>
      </c>
      <c r="AH74" s="737">
        <f t="shared" si="54"/>
        <v>0.017161119988883484</v>
      </c>
      <c r="AI74" s="738">
        <v>6</v>
      </c>
      <c r="AJ74" s="736">
        <f t="shared" si="55"/>
        <v>0.013605442176870748</v>
      </c>
      <c r="AK74" s="733">
        <v>22</v>
      </c>
      <c r="AL74" s="736">
        <f t="shared" si="56"/>
        <v>0.006045616927727398</v>
      </c>
      <c r="AM74" s="733">
        <v>8</v>
      </c>
      <c r="AN74" s="736">
        <f t="shared" si="57"/>
        <v>0.04419889502762431</v>
      </c>
      <c r="AO74" s="733">
        <v>36</v>
      </c>
      <c r="AP74" s="737">
        <f t="shared" si="58"/>
        <v>0.00844872095752171</v>
      </c>
      <c r="AQ74" s="738">
        <v>249.9</v>
      </c>
      <c r="AR74" s="736">
        <f t="shared" si="59"/>
        <v>0.0005743729279536847</v>
      </c>
      <c r="AS74" s="733">
        <v>4709.34</v>
      </c>
      <c r="AT74" s="736">
        <f t="shared" si="60"/>
        <v>0.005027169091937842</v>
      </c>
      <c r="AU74" s="733">
        <v>4109.58</v>
      </c>
      <c r="AV74" s="736">
        <f t="shared" si="61"/>
        <v>0.03504489274655195</v>
      </c>
      <c r="AW74" s="733">
        <f t="shared" si="45"/>
        <v>9068.82</v>
      </c>
      <c r="AX74" s="737">
        <f t="shared" si="62"/>
        <v>0.006090024312633201</v>
      </c>
      <c r="AY74" s="739">
        <v>5356.02</v>
      </c>
      <c r="AZ74" s="736">
        <f t="shared" si="63"/>
        <v>0.00809928366065447</v>
      </c>
      <c r="BA74" s="733">
        <v>17576.64</v>
      </c>
      <c r="BB74" s="736">
        <f t="shared" si="64"/>
        <v>0.020403954805539148</v>
      </c>
      <c r="BC74" s="733">
        <v>1085.28</v>
      </c>
      <c r="BD74" s="736">
        <f t="shared" si="65"/>
        <v>0.02934320092013841</v>
      </c>
      <c r="BE74" s="733">
        <f t="shared" si="66"/>
        <v>24017.94</v>
      </c>
      <c r="BF74" s="735">
        <f t="shared" si="67"/>
        <v>0.01539893595638472</v>
      </c>
      <c r="BH74" s="720"/>
    </row>
    <row r="75" spans="1:60" ht="11.25" customHeight="1">
      <c r="A75" s="681">
        <v>23000</v>
      </c>
      <c r="B75" s="682" t="s">
        <v>129</v>
      </c>
      <c r="C75" s="731">
        <v>71834.923</v>
      </c>
      <c r="D75" s="737">
        <f t="shared" si="46"/>
        <v>0.03681698942793698</v>
      </c>
      <c r="E75" s="739">
        <v>33612.8</v>
      </c>
      <c r="F75" s="737">
        <f t="shared" si="47"/>
        <v>0.0696411881815012</v>
      </c>
      <c r="G75" s="739">
        <v>187324</v>
      </c>
      <c r="H75" s="737">
        <f t="shared" si="48"/>
        <v>0.04198535836716274</v>
      </c>
      <c r="I75" s="739">
        <v>36207.5</v>
      </c>
      <c r="J75" s="737">
        <f t="shared" si="49"/>
        <v>0.014111984107923968</v>
      </c>
      <c r="K75" s="739">
        <v>124197</v>
      </c>
      <c r="L75" s="737">
        <f t="shared" si="50"/>
        <v>0.026258541288420187</v>
      </c>
      <c r="M75" s="635"/>
      <c r="N75" s="758">
        <v>55.488</v>
      </c>
      <c r="O75" s="759">
        <v>116.784</v>
      </c>
      <c r="P75" s="760">
        <f t="shared" si="44"/>
        <v>313.896</v>
      </c>
      <c r="Q75" s="761">
        <f t="shared" si="51"/>
        <v>0.033740927643330094</v>
      </c>
      <c r="R75" s="123"/>
      <c r="S75" s="123"/>
      <c r="T75" s="123"/>
      <c r="U75" s="123"/>
      <c r="V75" s="123"/>
      <c r="W75" s="123"/>
      <c r="X75" s="123"/>
      <c r="Y75" s="123"/>
      <c r="AA75" s="731">
        <v>277</v>
      </c>
      <c r="AB75" s="736">
        <f t="shared" si="68"/>
        <v>0.01785253931425625</v>
      </c>
      <c r="AC75" s="733">
        <v>76</v>
      </c>
      <c r="AD75" s="736">
        <f t="shared" si="52"/>
        <v>0.007561436672967864</v>
      </c>
      <c r="AE75" s="733">
        <v>24</v>
      </c>
      <c r="AF75" s="736">
        <f t="shared" si="53"/>
        <v>0.007455731593662628</v>
      </c>
      <c r="AG75" s="733">
        <v>377</v>
      </c>
      <c r="AH75" s="737">
        <f t="shared" si="54"/>
        <v>0.01309664420204266</v>
      </c>
      <c r="AI75" s="738">
        <v>2</v>
      </c>
      <c r="AJ75" s="736">
        <f t="shared" si="55"/>
        <v>0.0045351473922902496</v>
      </c>
      <c r="AK75" s="733">
        <v>0</v>
      </c>
      <c r="AL75" s="736">
        <f t="shared" si="56"/>
        <v>0</v>
      </c>
      <c r="AM75" s="733">
        <v>1</v>
      </c>
      <c r="AN75" s="736">
        <f t="shared" si="57"/>
        <v>0.0055248618784530384</v>
      </c>
      <c r="AO75" s="733">
        <v>3</v>
      </c>
      <c r="AP75" s="737">
        <f t="shared" si="58"/>
        <v>0.0007040600797934757</v>
      </c>
      <c r="AQ75" s="738">
        <v>17137.62</v>
      </c>
      <c r="AR75" s="736">
        <f t="shared" si="59"/>
        <v>0.039389295628481896</v>
      </c>
      <c r="AS75" s="733">
        <v>39307.2</v>
      </c>
      <c r="AT75" s="736">
        <f t="shared" si="60"/>
        <v>0.0419600073323691</v>
      </c>
      <c r="AU75" s="733">
        <v>5540.4</v>
      </c>
      <c r="AV75" s="736">
        <f t="shared" si="61"/>
        <v>0.04724636672676927</v>
      </c>
      <c r="AW75" s="733">
        <f t="shared" si="45"/>
        <v>61985.219999999994</v>
      </c>
      <c r="AX75" s="737">
        <f t="shared" si="62"/>
        <v>0.041625205575137415</v>
      </c>
      <c r="AY75" s="739">
        <v>51258.96</v>
      </c>
      <c r="AZ75" s="736">
        <f t="shared" si="63"/>
        <v>0.07751294005439506</v>
      </c>
      <c r="BA75" s="733">
        <v>26533.499999999996</v>
      </c>
      <c r="BB75" s="736">
        <f t="shared" si="64"/>
        <v>0.030801582943769282</v>
      </c>
      <c r="BC75" s="733">
        <v>660.06</v>
      </c>
      <c r="BD75" s="736">
        <f t="shared" si="65"/>
        <v>0.01784633753441191</v>
      </c>
      <c r="BE75" s="733">
        <f t="shared" si="66"/>
        <v>78452.51999999999</v>
      </c>
      <c r="BF75" s="735">
        <f t="shared" si="67"/>
        <v>0.05029929007637588</v>
      </c>
      <c r="BH75" s="720"/>
    </row>
    <row r="76" spans="1:60" ht="11.25" customHeight="1">
      <c r="A76" s="681">
        <v>24000</v>
      </c>
      <c r="B76" s="682" t="s">
        <v>130</v>
      </c>
      <c r="C76" s="731">
        <v>31379.314</v>
      </c>
      <c r="D76" s="737">
        <f t="shared" si="46"/>
        <v>0.016082593584654012</v>
      </c>
      <c r="E76" s="739">
        <v>15298.4</v>
      </c>
      <c r="F76" s="737">
        <f t="shared" si="47"/>
        <v>0.031696221477409726</v>
      </c>
      <c r="G76" s="739">
        <v>84266</v>
      </c>
      <c r="H76" s="737">
        <f t="shared" si="48"/>
        <v>0.01888673212277837</v>
      </c>
      <c r="I76" s="739">
        <v>25903.33</v>
      </c>
      <c r="J76" s="737">
        <f t="shared" si="49"/>
        <v>0.010095902266168893</v>
      </c>
      <c r="K76" s="739">
        <v>141182</v>
      </c>
      <c r="L76" s="737">
        <f t="shared" si="50"/>
        <v>0.029849620974594707</v>
      </c>
      <c r="M76" s="635"/>
      <c r="N76" s="758">
        <v>39.123999999999995</v>
      </c>
      <c r="O76" s="759">
        <v>75.011</v>
      </c>
      <c r="P76" s="760">
        <f t="shared" si="44"/>
        <v>210.32649999999998</v>
      </c>
      <c r="Q76" s="761">
        <f t="shared" si="51"/>
        <v>0.022608160721942508</v>
      </c>
      <c r="R76" s="123"/>
      <c r="S76" s="123"/>
      <c r="T76" s="123"/>
      <c r="U76" s="123"/>
      <c r="V76" s="123"/>
      <c r="W76" s="123"/>
      <c r="X76" s="123"/>
      <c r="Y76" s="123"/>
      <c r="AA76" s="731">
        <v>295</v>
      </c>
      <c r="AB76" s="736">
        <f t="shared" si="68"/>
        <v>0.019012632121680844</v>
      </c>
      <c r="AC76" s="733">
        <v>106</v>
      </c>
      <c r="AD76" s="736">
        <f t="shared" si="52"/>
        <v>0.010546214307034125</v>
      </c>
      <c r="AE76" s="733">
        <v>40</v>
      </c>
      <c r="AF76" s="736">
        <f t="shared" si="53"/>
        <v>0.012426219322771047</v>
      </c>
      <c r="AG76" s="733">
        <v>441</v>
      </c>
      <c r="AH76" s="737">
        <f t="shared" si="54"/>
        <v>0.01531994719655388</v>
      </c>
      <c r="AI76" s="738">
        <v>3</v>
      </c>
      <c r="AJ76" s="736">
        <f t="shared" si="55"/>
        <v>0.006802721088435374</v>
      </c>
      <c r="AK76" s="733">
        <v>1</v>
      </c>
      <c r="AL76" s="736">
        <f t="shared" si="56"/>
        <v>0.0002748007694421544</v>
      </c>
      <c r="AM76" s="733">
        <v>2</v>
      </c>
      <c r="AN76" s="736">
        <f t="shared" si="57"/>
        <v>0.011049723756906077</v>
      </c>
      <c r="AO76" s="733">
        <v>6</v>
      </c>
      <c r="AP76" s="737">
        <f t="shared" si="58"/>
        <v>0.0014081201595869514</v>
      </c>
      <c r="AQ76" s="738">
        <v>17977.8</v>
      </c>
      <c r="AR76" s="736">
        <f t="shared" si="59"/>
        <v>0.04132037464652162</v>
      </c>
      <c r="AS76" s="733">
        <v>14808.599999999999</v>
      </c>
      <c r="AT76" s="736">
        <f t="shared" si="60"/>
        <v>0.01580801900369706</v>
      </c>
      <c r="AU76" s="733">
        <v>4720.74</v>
      </c>
      <c r="AV76" s="736">
        <f t="shared" si="61"/>
        <v>0.04025662646410525</v>
      </c>
      <c r="AW76" s="733">
        <f t="shared" si="45"/>
        <v>37507.13999999999</v>
      </c>
      <c r="AX76" s="737">
        <f t="shared" si="62"/>
        <v>0.025187333577834512</v>
      </c>
      <c r="AY76" s="739">
        <v>15086.759999999998</v>
      </c>
      <c r="AZ76" s="736">
        <f t="shared" si="63"/>
        <v>0.022813945571565342</v>
      </c>
      <c r="BA76" s="733">
        <v>2828.3399999999997</v>
      </c>
      <c r="BB76" s="736">
        <f t="shared" si="64"/>
        <v>0.003283296553533473</v>
      </c>
      <c r="BC76" s="733">
        <v>577.9799999999999</v>
      </c>
      <c r="BD76" s="736">
        <f t="shared" si="65"/>
        <v>0.01562710385137623</v>
      </c>
      <c r="BE76" s="733">
        <f t="shared" si="66"/>
        <v>18493.079999999998</v>
      </c>
      <c r="BF76" s="735">
        <f t="shared" si="67"/>
        <v>0.011856710215626284</v>
      </c>
      <c r="BH76" s="720"/>
    </row>
    <row r="77" spans="1:60" ht="11.25" customHeight="1">
      <c r="A77" s="681">
        <v>25000</v>
      </c>
      <c r="B77" s="682" t="s">
        <v>131</v>
      </c>
      <c r="C77" s="731">
        <v>63488.894</v>
      </c>
      <c r="D77" s="737">
        <f t="shared" si="46"/>
        <v>0.032539464672209806</v>
      </c>
      <c r="E77" s="739">
        <v>0</v>
      </c>
      <c r="F77" s="737">
        <f t="shared" si="47"/>
        <v>0</v>
      </c>
      <c r="G77" s="739">
        <v>101473</v>
      </c>
      <c r="H77" s="737">
        <f t="shared" si="48"/>
        <v>0.022743376553944525</v>
      </c>
      <c r="I77" s="739">
        <v>47613.527028</v>
      </c>
      <c r="J77" s="737">
        <f t="shared" si="49"/>
        <v>0.01855751810374492</v>
      </c>
      <c r="K77" s="739">
        <v>66854</v>
      </c>
      <c r="L77" s="737">
        <f t="shared" si="50"/>
        <v>0.01413470952837865</v>
      </c>
      <c r="M77" s="635"/>
      <c r="N77" s="758">
        <v>45.8</v>
      </c>
      <c r="O77" s="759">
        <v>86.019</v>
      </c>
      <c r="P77" s="760">
        <f t="shared" si="44"/>
        <v>243.5285</v>
      </c>
      <c r="Q77" s="761">
        <f t="shared" si="51"/>
        <v>0.026177069786135255</v>
      </c>
      <c r="R77" s="123"/>
      <c r="S77" s="123"/>
      <c r="T77" s="123"/>
      <c r="U77" s="123"/>
      <c r="V77" s="123"/>
      <c r="W77" s="123"/>
      <c r="X77" s="123"/>
      <c r="Y77" s="123"/>
      <c r="AA77" s="731">
        <v>137</v>
      </c>
      <c r="AB77" s="736">
        <f t="shared" si="68"/>
        <v>0.00882959525650941</v>
      </c>
      <c r="AC77" s="733">
        <v>32</v>
      </c>
      <c r="AD77" s="736">
        <f t="shared" si="52"/>
        <v>0.0031837628096706796</v>
      </c>
      <c r="AE77" s="733">
        <v>41</v>
      </c>
      <c r="AF77" s="736">
        <f t="shared" si="53"/>
        <v>0.012736874805840324</v>
      </c>
      <c r="AG77" s="733">
        <v>210</v>
      </c>
      <c r="AH77" s="737">
        <f t="shared" si="54"/>
        <v>0.007295212950739943</v>
      </c>
      <c r="AI77" s="738">
        <v>3</v>
      </c>
      <c r="AJ77" s="736">
        <f t="shared" si="55"/>
        <v>0.006802721088435374</v>
      </c>
      <c r="AK77" s="733">
        <v>0</v>
      </c>
      <c r="AL77" s="736">
        <f t="shared" si="56"/>
        <v>0</v>
      </c>
      <c r="AM77" s="733">
        <v>1</v>
      </c>
      <c r="AN77" s="736">
        <f t="shared" si="57"/>
        <v>0.0055248618784530384</v>
      </c>
      <c r="AO77" s="733">
        <v>4</v>
      </c>
      <c r="AP77" s="737">
        <f t="shared" si="58"/>
        <v>0.0009387467730579676</v>
      </c>
      <c r="AQ77" s="738">
        <v>13336.5</v>
      </c>
      <c r="AR77" s="736">
        <f t="shared" si="59"/>
        <v>0.030652759318344602</v>
      </c>
      <c r="AS77" s="733">
        <v>11682.06</v>
      </c>
      <c r="AT77" s="736">
        <f t="shared" si="60"/>
        <v>0.012470471650414575</v>
      </c>
      <c r="AU77" s="733">
        <v>2292.96</v>
      </c>
      <c r="AV77" s="736">
        <f t="shared" si="61"/>
        <v>0.019553467087180143</v>
      </c>
      <c r="AW77" s="733">
        <f t="shared" si="45"/>
        <v>27311.519999999997</v>
      </c>
      <c r="AX77" s="737">
        <f t="shared" si="62"/>
        <v>0.018340624338664558</v>
      </c>
      <c r="AY77" s="739">
        <v>21533.22</v>
      </c>
      <c r="AZ77" s="736">
        <f t="shared" si="63"/>
        <v>0.03256217432109627</v>
      </c>
      <c r="BA77" s="733">
        <v>3342.54</v>
      </c>
      <c r="BB77" s="736">
        <f t="shared" si="64"/>
        <v>0.0038802089077154007</v>
      </c>
      <c r="BC77" s="733">
        <v>948.6</v>
      </c>
      <c r="BD77" s="736">
        <f t="shared" si="65"/>
        <v>0.025647722608767597</v>
      </c>
      <c r="BE77" s="733">
        <f t="shared" si="66"/>
        <v>25824.36</v>
      </c>
      <c r="BF77" s="735">
        <f t="shared" si="67"/>
        <v>0.016557109633658147</v>
      </c>
      <c r="BH77" s="720"/>
    </row>
    <row r="78" spans="1:60" ht="11.25" customHeight="1">
      <c r="A78" s="681">
        <v>26000</v>
      </c>
      <c r="B78" s="682" t="s">
        <v>132</v>
      </c>
      <c r="C78" s="731">
        <v>148357.489</v>
      </c>
      <c r="D78" s="737">
        <f t="shared" si="46"/>
        <v>0.07603649974077759</v>
      </c>
      <c r="E78" s="739">
        <v>35546.5</v>
      </c>
      <c r="F78" s="737">
        <f t="shared" si="47"/>
        <v>0.07364755377992109</v>
      </c>
      <c r="G78" s="739">
        <v>369195</v>
      </c>
      <c r="H78" s="737">
        <f t="shared" si="48"/>
        <v>0.08274852331983433</v>
      </c>
      <c r="I78" s="739">
        <v>202191.63580000002</v>
      </c>
      <c r="J78" s="737">
        <f t="shared" si="49"/>
        <v>0.07880480980914868</v>
      </c>
      <c r="K78" s="739">
        <v>266515</v>
      </c>
      <c r="L78" s="737">
        <f t="shared" si="50"/>
        <v>0.05634834280605253</v>
      </c>
      <c r="M78" s="635"/>
      <c r="N78" s="758">
        <v>103.182</v>
      </c>
      <c r="O78" s="759">
        <v>202.169</v>
      </c>
      <c r="P78" s="760">
        <f t="shared" si="44"/>
        <v>561.2085</v>
      </c>
      <c r="Q78" s="761">
        <f t="shared" si="51"/>
        <v>0.060324742562255694</v>
      </c>
      <c r="R78" s="123"/>
      <c r="S78" s="123"/>
      <c r="T78" s="123"/>
      <c r="U78" s="123"/>
      <c r="V78" s="123"/>
      <c r="W78" s="123"/>
      <c r="X78" s="123"/>
      <c r="Y78" s="123"/>
      <c r="AA78" s="731">
        <v>2017</v>
      </c>
      <c r="AB78" s="736">
        <f t="shared" si="68"/>
        <v>0.129994844031967</v>
      </c>
      <c r="AC78" s="733">
        <v>756</v>
      </c>
      <c r="AD78" s="736">
        <f t="shared" si="52"/>
        <v>0.0752163963784698</v>
      </c>
      <c r="AE78" s="733">
        <v>236</v>
      </c>
      <c r="AF78" s="736">
        <f t="shared" si="53"/>
        <v>0.07331469400434917</v>
      </c>
      <c r="AG78" s="733">
        <v>3009</v>
      </c>
      <c r="AH78" s="737">
        <f t="shared" si="54"/>
        <v>0.10452997985131661</v>
      </c>
      <c r="AI78" s="738">
        <v>5</v>
      </c>
      <c r="AJ78" s="736">
        <f t="shared" si="55"/>
        <v>0.011337868480725623</v>
      </c>
      <c r="AK78" s="733">
        <v>10</v>
      </c>
      <c r="AL78" s="736">
        <f t="shared" si="56"/>
        <v>0.0027480076944215444</v>
      </c>
      <c r="AM78" s="733">
        <v>4</v>
      </c>
      <c r="AN78" s="736">
        <f t="shared" si="57"/>
        <v>0.022099447513812154</v>
      </c>
      <c r="AO78" s="733">
        <v>19</v>
      </c>
      <c r="AP78" s="737">
        <f t="shared" si="58"/>
        <v>0.004459047172025346</v>
      </c>
      <c r="AQ78" s="738">
        <v>21697.62</v>
      </c>
      <c r="AR78" s="736">
        <f t="shared" si="59"/>
        <v>0.04987005013616017</v>
      </c>
      <c r="AS78" s="733">
        <v>75334.62</v>
      </c>
      <c r="AT78" s="736">
        <f t="shared" si="60"/>
        <v>0.08041888528262608</v>
      </c>
      <c r="AU78" s="733">
        <v>16119.599999999999</v>
      </c>
      <c r="AV78" s="736">
        <f t="shared" si="61"/>
        <v>0.1374616513408472</v>
      </c>
      <c r="AW78" s="733">
        <f t="shared" si="45"/>
        <v>113151.84</v>
      </c>
      <c r="AX78" s="737">
        <f t="shared" si="62"/>
        <v>0.0759853494301554</v>
      </c>
      <c r="AY78" s="739">
        <v>46752.53999999999</v>
      </c>
      <c r="AZ78" s="736">
        <f t="shared" si="63"/>
        <v>0.07069840727183514</v>
      </c>
      <c r="BA78" s="733">
        <v>64553.63999999999</v>
      </c>
      <c r="BB78" s="736">
        <f t="shared" si="64"/>
        <v>0.07493750529640728</v>
      </c>
      <c r="BC78" s="733">
        <v>2083.9199999999996</v>
      </c>
      <c r="BD78" s="736">
        <f t="shared" si="65"/>
        <v>0.05634387739707249</v>
      </c>
      <c r="BE78" s="733">
        <f t="shared" si="66"/>
        <v>113390.09999999999</v>
      </c>
      <c r="BF78" s="735">
        <f t="shared" si="67"/>
        <v>0.07269927762281274</v>
      </c>
      <c r="BH78" s="720"/>
    </row>
    <row r="79" spans="1:60" ht="11.25" customHeight="1">
      <c r="A79" s="681">
        <v>27000</v>
      </c>
      <c r="B79" s="682" t="s">
        <v>133</v>
      </c>
      <c r="C79" s="731">
        <v>72274.022</v>
      </c>
      <c r="D79" s="737">
        <f t="shared" si="46"/>
        <v>0.03704203739298899</v>
      </c>
      <c r="E79" s="739">
        <v>0</v>
      </c>
      <c r="F79" s="737">
        <f t="shared" si="47"/>
        <v>0</v>
      </c>
      <c r="G79" s="739">
        <v>183873</v>
      </c>
      <c r="H79" s="737">
        <f t="shared" si="48"/>
        <v>0.041211877810880156</v>
      </c>
      <c r="I79" s="739">
        <v>146568.225</v>
      </c>
      <c r="J79" s="737">
        <f t="shared" si="49"/>
        <v>0.0571254149534385</v>
      </c>
      <c r="K79" s="739">
        <v>230249</v>
      </c>
      <c r="L79" s="737">
        <f t="shared" si="50"/>
        <v>0.04868074811080348</v>
      </c>
      <c r="M79" s="635"/>
      <c r="N79" s="758">
        <v>91.616</v>
      </c>
      <c r="O79" s="759">
        <v>166.12699999999998</v>
      </c>
      <c r="P79" s="760">
        <f t="shared" si="44"/>
        <v>478.2305</v>
      </c>
      <c r="Q79" s="761">
        <f t="shared" si="51"/>
        <v>0.05140537215298561</v>
      </c>
      <c r="R79" s="123"/>
      <c r="S79" s="123"/>
      <c r="T79" s="123"/>
      <c r="U79" s="123"/>
      <c r="V79" s="123"/>
      <c r="W79" s="123"/>
      <c r="X79" s="123"/>
      <c r="Y79" s="123"/>
      <c r="AA79" s="731">
        <v>679</v>
      </c>
      <c r="AB79" s="736">
        <f t="shared" si="68"/>
        <v>0.04376127868007219</v>
      </c>
      <c r="AC79" s="733">
        <v>340</v>
      </c>
      <c r="AD79" s="736">
        <f t="shared" si="52"/>
        <v>0.03382747985275097</v>
      </c>
      <c r="AE79" s="733">
        <v>119</v>
      </c>
      <c r="AF79" s="736">
        <f t="shared" si="53"/>
        <v>0.036968002485243866</v>
      </c>
      <c r="AG79" s="733">
        <v>1138</v>
      </c>
      <c r="AH79" s="737">
        <f t="shared" si="54"/>
        <v>0.03953310637115264</v>
      </c>
      <c r="AI79" s="738">
        <v>26</v>
      </c>
      <c r="AJ79" s="736">
        <f t="shared" si="55"/>
        <v>0.05895691609977324</v>
      </c>
      <c r="AK79" s="733">
        <v>14</v>
      </c>
      <c r="AL79" s="736">
        <f t="shared" si="56"/>
        <v>0.0038472107721901623</v>
      </c>
      <c r="AM79" s="733">
        <v>15</v>
      </c>
      <c r="AN79" s="736">
        <f t="shared" si="57"/>
        <v>0.08287292817679558</v>
      </c>
      <c r="AO79" s="733">
        <v>55</v>
      </c>
      <c r="AP79" s="737">
        <f t="shared" si="58"/>
        <v>0.012907768129547055</v>
      </c>
      <c r="AQ79" s="738">
        <v>10783.259999999998</v>
      </c>
      <c r="AR79" s="736">
        <f t="shared" si="59"/>
        <v>0.024784364222032212</v>
      </c>
      <c r="AS79" s="733">
        <v>26092.319999999996</v>
      </c>
      <c r="AT79" s="736">
        <f t="shared" si="60"/>
        <v>0.02785326704823851</v>
      </c>
      <c r="AU79" s="733">
        <v>6048.839999999999</v>
      </c>
      <c r="AV79" s="736">
        <f t="shared" si="61"/>
        <v>0.05158214441404068</v>
      </c>
      <c r="AW79" s="733">
        <f t="shared" si="45"/>
        <v>42924.41999999999</v>
      </c>
      <c r="AX79" s="737">
        <f t="shared" si="62"/>
        <v>0.028825223282155647</v>
      </c>
      <c r="AY79" s="739">
        <v>47857.2</v>
      </c>
      <c r="AZ79" s="736">
        <f t="shared" si="63"/>
        <v>0.07236885560634072</v>
      </c>
      <c r="BA79" s="733">
        <v>17845.559999999998</v>
      </c>
      <c r="BB79" s="736">
        <f t="shared" si="64"/>
        <v>0.02071613230512414</v>
      </c>
      <c r="BC79" s="733">
        <v>1893.5399999999997</v>
      </c>
      <c r="BD79" s="736">
        <f t="shared" si="65"/>
        <v>0.0511964881600314</v>
      </c>
      <c r="BE79" s="733">
        <f t="shared" si="66"/>
        <v>67596.29999999999</v>
      </c>
      <c r="BF79" s="735">
        <f t="shared" si="67"/>
        <v>0.043338899780271264</v>
      </c>
      <c r="BH79" s="720"/>
    </row>
    <row r="80" spans="1:60" ht="11.25" customHeight="1">
      <c r="A80" s="681">
        <v>28000</v>
      </c>
      <c r="B80" s="682" t="s">
        <v>134</v>
      </c>
      <c r="C80" s="731">
        <v>32731.749</v>
      </c>
      <c r="D80" s="737">
        <f t="shared" si="46"/>
        <v>0.016775746483237503</v>
      </c>
      <c r="E80" s="739">
        <v>18747.3</v>
      </c>
      <c r="F80" s="737">
        <f t="shared" si="47"/>
        <v>0.038841877118093615</v>
      </c>
      <c r="G80" s="739">
        <v>46034</v>
      </c>
      <c r="H80" s="737">
        <f t="shared" si="48"/>
        <v>0.01031770615123513</v>
      </c>
      <c r="I80" s="739">
        <v>7184</v>
      </c>
      <c r="J80" s="737">
        <f t="shared" si="49"/>
        <v>0.0027999860203362778</v>
      </c>
      <c r="K80" s="739">
        <v>67581</v>
      </c>
      <c r="L80" s="737">
        <f t="shared" si="50"/>
        <v>0.014288416618861363</v>
      </c>
      <c r="M80" s="635"/>
      <c r="N80" s="758">
        <v>34.739</v>
      </c>
      <c r="O80" s="759">
        <v>77.677</v>
      </c>
      <c r="P80" s="760">
        <f t="shared" si="44"/>
        <v>203.363</v>
      </c>
      <c r="Q80" s="761">
        <f t="shared" si="51"/>
        <v>0.021859648636269775</v>
      </c>
      <c r="R80" s="123"/>
      <c r="S80" s="123"/>
      <c r="T80" s="123"/>
      <c r="U80" s="123"/>
      <c r="V80" s="123"/>
      <c r="W80" s="123"/>
      <c r="X80" s="123"/>
      <c r="Y80" s="123"/>
      <c r="AA80" s="731">
        <v>455</v>
      </c>
      <c r="AB80" s="736">
        <f t="shared" si="68"/>
        <v>0.029324568187677237</v>
      </c>
      <c r="AC80" s="733">
        <v>217</v>
      </c>
      <c r="AD80" s="736">
        <f t="shared" si="52"/>
        <v>0.021589891553079294</v>
      </c>
      <c r="AE80" s="733">
        <v>52</v>
      </c>
      <c r="AF80" s="736">
        <f t="shared" si="53"/>
        <v>0.01615408511960236</v>
      </c>
      <c r="AG80" s="733">
        <v>724</v>
      </c>
      <c r="AH80" s="737">
        <f t="shared" si="54"/>
        <v>0.025151115125408186</v>
      </c>
      <c r="AI80" s="738">
        <v>3</v>
      </c>
      <c r="AJ80" s="736">
        <f t="shared" si="55"/>
        <v>0.006802721088435374</v>
      </c>
      <c r="AK80" s="733">
        <v>18</v>
      </c>
      <c r="AL80" s="736">
        <f t="shared" si="56"/>
        <v>0.00494641384995878</v>
      </c>
      <c r="AM80" s="733">
        <v>20</v>
      </c>
      <c r="AN80" s="736">
        <f t="shared" si="57"/>
        <v>0.11049723756906077</v>
      </c>
      <c r="AO80" s="733">
        <v>41</v>
      </c>
      <c r="AP80" s="737">
        <f t="shared" si="58"/>
        <v>0.009622154423844167</v>
      </c>
      <c r="AQ80" s="738">
        <v>17765.76</v>
      </c>
      <c r="AR80" s="736">
        <f t="shared" si="59"/>
        <v>0.040833019561914576</v>
      </c>
      <c r="AS80" s="733">
        <v>19082.46</v>
      </c>
      <c r="AT80" s="736">
        <f t="shared" si="60"/>
        <v>0.02037031794479485</v>
      </c>
      <c r="AU80" s="733">
        <v>2805.54</v>
      </c>
      <c r="AV80" s="736">
        <f t="shared" si="61"/>
        <v>0.023924549077073903</v>
      </c>
      <c r="AW80" s="733">
        <f t="shared" si="45"/>
        <v>39653.76</v>
      </c>
      <c r="AX80" s="737">
        <f t="shared" si="62"/>
        <v>0.026628862684155374</v>
      </c>
      <c r="AY80" s="739">
        <v>15826.619999999999</v>
      </c>
      <c r="AZ80" s="736">
        <f t="shared" si="63"/>
        <v>0.02393274946123936</v>
      </c>
      <c r="BA80" s="733">
        <v>3247.8599999999997</v>
      </c>
      <c r="BB80" s="736">
        <f t="shared" si="64"/>
        <v>0.0037702990249967212</v>
      </c>
      <c r="BC80" s="733">
        <v>454.85999999999996</v>
      </c>
      <c r="BD80" s="736">
        <f t="shared" si="65"/>
        <v>0.012298253326822715</v>
      </c>
      <c r="BE80" s="733">
        <f t="shared" si="66"/>
        <v>19529.34</v>
      </c>
      <c r="BF80" s="735">
        <f t="shared" si="67"/>
        <v>0.012521101140666619</v>
      </c>
      <c r="BH80" s="720"/>
    </row>
    <row r="81" spans="1:60" ht="11.25" customHeight="1">
      <c r="A81" s="681">
        <v>31000</v>
      </c>
      <c r="B81" s="682" t="s">
        <v>135</v>
      </c>
      <c r="C81" s="731">
        <v>23552.584</v>
      </c>
      <c r="D81" s="737">
        <f t="shared" si="46"/>
        <v>0.012071221070684488</v>
      </c>
      <c r="E81" s="739">
        <v>0</v>
      </c>
      <c r="F81" s="737">
        <f t="shared" si="47"/>
        <v>0</v>
      </c>
      <c r="G81" s="739">
        <v>70037</v>
      </c>
      <c r="H81" s="737">
        <f t="shared" si="48"/>
        <v>0.01569755367150486</v>
      </c>
      <c r="I81" s="739">
        <v>24912</v>
      </c>
      <c r="J81" s="737">
        <f t="shared" si="49"/>
        <v>0.009709528360052526</v>
      </c>
      <c r="K81" s="739">
        <v>205365</v>
      </c>
      <c r="L81" s="737">
        <f t="shared" si="50"/>
        <v>0.0434196102296868</v>
      </c>
      <c r="M81" s="635"/>
      <c r="N81" s="758">
        <v>69.678</v>
      </c>
      <c r="O81" s="759">
        <v>125.021</v>
      </c>
      <c r="P81" s="760">
        <f t="shared" si="44"/>
        <v>361.7265</v>
      </c>
      <c r="Q81" s="761">
        <f t="shared" si="51"/>
        <v>0.03888226566498153</v>
      </c>
      <c r="R81" s="123"/>
      <c r="S81" s="123"/>
      <c r="T81" s="123"/>
      <c r="U81" s="123"/>
      <c r="V81" s="123"/>
      <c r="W81" s="123"/>
      <c r="X81" s="123"/>
      <c r="Y81" s="123"/>
      <c r="AA81" s="731">
        <v>1933</v>
      </c>
      <c r="AB81" s="736">
        <f t="shared" si="68"/>
        <v>0.1245810775973189</v>
      </c>
      <c r="AC81" s="733">
        <v>1077</v>
      </c>
      <c r="AD81" s="736">
        <f t="shared" si="52"/>
        <v>0.1071535170629788</v>
      </c>
      <c r="AE81" s="733">
        <v>84</v>
      </c>
      <c r="AF81" s="736">
        <f t="shared" si="53"/>
        <v>0.0260950605778192</v>
      </c>
      <c r="AG81" s="733">
        <v>3094</v>
      </c>
      <c r="AH81" s="737">
        <f t="shared" si="54"/>
        <v>0.10748280414090183</v>
      </c>
      <c r="AI81" s="738">
        <v>39</v>
      </c>
      <c r="AJ81" s="736">
        <f t="shared" si="55"/>
        <v>0.08843537414965986</v>
      </c>
      <c r="AK81" s="733">
        <v>122</v>
      </c>
      <c r="AL81" s="736">
        <f t="shared" si="56"/>
        <v>0.03352569387194284</v>
      </c>
      <c r="AM81" s="733">
        <v>14</v>
      </c>
      <c r="AN81" s="736">
        <f t="shared" si="57"/>
        <v>0.07734806629834254</v>
      </c>
      <c r="AO81" s="733">
        <v>175</v>
      </c>
      <c r="AP81" s="737">
        <f t="shared" si="58"/>
        <v>0.041070171321286084</v>
      </c>
      <c r="AQ81" s="738">
        <v>2672.16</v>
      </c>
      <c r="AR81" s="736">
        <f t="shared" si="59"/>
        <v>0.006141722141499472</v>
      </c>
      <c r="AS81" s="733">
        <v>86620.62</v>
      </c>
      <c r="AT81" s="736">
        <f t="shared" si="60"/>
        <v>0.09246656720230283</v>
      </c>
      <c r="AU81" s="733">
        <v>2575.2599999999998</v>
      </c>
      <c r="AV81" s="736">
        <f t="shared" si="61"/>
        <v>0.021960811200776083</v>
      </c>
      <c r="AW81" s="733">
        <f t="shared" si="45"/>
        <v>91868.04</v>
      </c>
      <c r="AX81" s="737">
        <f t="shared" si="62"/>
        <v>0.06169254623577923</v>
      </c>
      <c r="AY81" s="739">
        <v>34466.759999999995</v>
      </c>
      <c r="AZ81" s="736">
        <f t="shared" si="63"/>
        <v>0.05212005670324214</v>
      </c>
      <c r="BA81" s="733">
        <v>58041.95999999999</v>
      </c>
      <c r="BB81" s="736">
        <f t="shared" si="64"/>
        <v>0.06737837997847773</v>
      </c>
      <c r="BC81" s="733">
        <v>446.87999999999994</v>
      </c>
      <c r="BD81" s="736">
        <f t="shared" si="65"/>
        <v>0.01208249449652758</v>
      </c>
      <c r="BE81" s="733">
        <f t="shared" si="66"/>
        <v>92955.59999999999</v>
      </c>
      <c r="BF81" s="735">
        <f t="shared" si="67"/>
        <v>0.059597839414509135</v>
      </c>
      <c r="BH81" s="720"/>
    </row>
    <row r="82" spans="1:60" ht="11.25" customHeight="1">
      <c r="A82" s="681">
        <v>41000</v>
      </c>
      <c r="B82" s="682" t="s">
        <v>136</v>
      </c>
      <c r="C82" s="731">
        <v>53785.485</v>
      </c>
      <c r="D82" s="737">
        <f t="shared" si="46"/>
        <v>0.027566252595850396</v>
      </c>
      <c r="E82" s="739">
        <v>0</v>
      </c>
      <c r="F82" s="737">
        <f t="shared" si="47"/>
        <v>0</v>
      </c>
      <c r="G82" s="739">
        <v>123423</v>
      </c>
      <c r="H82" s="737">
        <f t="shared" si="48"/>
        <v>0.02766308046886852</v>
      </c>
      <c r="I82" s="739">
        <v>197827</v>
      </c>
      <c r="J82" s="737">
        <f t="shared" si="49"/>
        <v>0.0771036796276538</v>
      </c>
      <c r="K82" s="739">
        <v>110808</v>
      </c>
      <c r="L82" s="737">
        <f t="shared" si="50"/>
        <v>0.02342775141981903</v>
      </c>
      <c r="M82" s="635"/>
      <c r="N82" s="758">
        <v>62.956</v>
      </c>
      <c r="O82" s="759">
        <v>106.844</v>
      </c>
      <c r="P82" s="760">
        <f t="shared" si="44"/>
        <v>317.656</v>
      </c>
      <c r="Q82" s="761">
        <f t="shared" si="51"/>
        <v>0.034145092997265536</v>
      </c>
      <c r="R82" s="123"/>
      <c r="S82" s="123"/>
      <c r="T82" s="123"/>
      <c r="U82" s="123"/>
      <c r="V82" s="123"/>
      <c r="W82" s="123"/>
      <c r="X82" s="123"/>
      <c r="Y82" s="123"/>
      <c r="AA82" s="731">
        <v>823</v>
      </c>
      <c r="AB82" s="736">
        <f t="shared" si="68"/>
        <v>0.05304202113946894</v>
      </c>
      <c r="AC82" s="733">
        <v>298</v>
      </c>
      <c r="AD82" s="736">
        <f t="shared" si="52"/>
        <v>0.029648791165058204</v>
      </c>
      <c r="AE82" s="733">
        <v>68</v>
      </c>
      <c r="AF82" s="736">
        <f t="shared" si="53"/>
        <v>0.02112457284871078</v>
      </c>
      <c r="AG82" s="733">
        <v>1189</v>
      </c>
      <c r="AH82" s="737">
        <f t="shared" si="54"/>
        <v>0.041304800944903776</v>
      </c>
      <c r="AI82" s="738">
        <v>15</v>
      </c>
      <c r="AJ82" s="736">
        <f t="shared" si="55"/>
        <v>0.034013605442176874</v>
      </c>
      <c r="AK82" s="733">
        <v>15</v>
      </c>
      <c r="AL82" s="736">
        <f t="shared" si="56"/>
        <v>0.004122011541632316</v>
      </c>
      <c r="AM82" s="733">
        <v>19</v>
      </c>
      <c r="AN82" s="736">
        <f t="shared" si="57"/>
        <v>0.10497237569060773</v>
      </c>
      <c r="AO82" s="733">
        <v>49</v>
      </c>
      <c r="AP82" s="737">
        <f t="shared" si="58"/>
        <v>0.011499647969960104</v>
      </c>
      <c r="AQ82" s="738">
        <v>12948.119999999999</v>
      </c>
      <c r="AR82" s="736">
        <f t="shared" si="59"/>
        <v>0.029760102424552477</v>
      </c>
      <c r="AS82" s="733">
        <v>73933.56</v>
      </c>
      <c r="AT82" s="736">
        <f t="shared" si="60"/>
        <v>0.07892326901199147</v>
      </c>
      <c r="AU82" s="733">
        <v>4165.5599999999995</v>
      </c>
      <c r="AV82" s="736">
        <f t="shared" si="61"/>
        <v>0.035522268316793185</v>
      </c>
      <c r="AW82" s="733">
        <f t="shared" si="45"/>
        <v>91047.23999999999</v>
      </c>
      <c r="AX82" s="737">
        <f t="shared" si="62"/>
        <v>0.0611413508260336</v>
      </c>
      <c r="AY82" s="739">
        <v>9786.9</v>
      </c>
      <c r="AZ82" s="736">
        <f t="shared" si="63"/>
        <v>0.014799586121496787</v>
      </c>
      <c r="BA82" s="733">
        <v>90218.45999999999</v>
      </c>
      <c r="BB82" s="736">
        <f t="shared" si="64"/>
        <v>0.10473067551394016</v>
      </c>
      <c r="BC82" s="733">
        <v>2132.9399999999996</v>
      </c>
      <c r="BD82" s="736">
        <f t="shared" si="65"/>
        <v>0.057669253068885463</v>
      </c>
      <c r="BE82" s="733">
        <f t="shared" si="66"/>
        <v>102138.29999999999</v>
      </c>
      <c r="BF82" s="735">
        <f t="shared" si="67"/>
        <v>0.06548526394828239</v>
      </c>
      <c r="BH82" s="720"/>
    </row>
    <row r="83" spans="1:60" ht="11.25" customHeight="1">
      <c r="A83" s="681">
        <v>43000</v>
      </c>
      <c r="B83" s="682" t="s">
        <v>137</v>
      </c>
      <c r="C83" s="731">
        <v>44527.717</v>
      </c>
      <c r="D83" s="737">
        <f t="shared" si="46"/>
        <v>0.02282144140447077</v>
      </c>
      <c r="E83" s="739">
        <v>0</v>
      </c>
      <c r="F83" s="737">
        <f t="shared" si="47"/>
        <v>0</v>
      </c>
      <c r="G83" s="739">
        <v>87723</v>
      </c>
      <c r="H83" s="737">
        <f t="shared" si="48"/>
        <v>0.019661557472841797</v>
      </c>
      <c r="I83" s="739">
        <v>9533.09884</v>
      </c>
      <c r="J83" s="737">
        <f t="shared" si="49"/>
        <v>0.0037155544936642525</v>
      </c>
      <c r="K83" s="739">
        <v>137487</v>
      </c>
      <c r="L83" s="737">
        <f t="shared" si="50"/>
        <v>0.029068399930119296</v>
      </c>
      <c r="M83" s="635"/>
      <c r="N83" s="758">
        <v>51.237</v>
      </c>
      <c r="O83" s="759">
        <v>103.392</v>
      </c>
      <c r="P83" s="760">
        <f t="shared" si="44"/>
        <v>283.1805</v>
      </c>
      <c r="Q83" s="761">
        <f t="shared" si="51"/>
        <v>0.030439294417584282</v>
      </c>
      <c r="R83" s="123"/>
      <c r="S83" s="123"/>
      <c r="T83" s="123"/>
      <c r="U83" s="123"/>
      <c r="V83" s="123"/>
      <c r="W83" s="123"/>
      <c r="X83" s="123"/>
      <c r="Y83" s="123"/>
      <c r="AA83" s="731">
        <v>677</v>
      </c>
      <c r="AB83" s="736">
        <f t="shared" si="68"/>
        <v>0.04363237947924723</v>
      </c>
      <c r="AC83" s="733">
        <v>129</v>
      </c>
      <c r="AD83" s="736">
        <f t="shared" si="52"/>
        <v>0.012834543826484928</v>
      </c>
      <c r="AE83" s="733">
        <v>55</v>
      </c>
      <c r="AF83" s="736">
        <f t="shared" si="53"/>
        <v>0.017086051568810188</v>
      </c>
      <c r="AG83" s="733">
        <v>861</v>
      </c>
      <c r="AH83" s="737">
        <f t="shared" si="54"/>
        <v>0.029910373098033766</v>
      </c>
      <c r="AI83" s="738">
        <v>11</v>
      </c>
      <c r="AJ83" s="736">
        <f t="shared" si="55"/>
        <v>0.024943310657596373</v>
      </c>
      <c r="AK83" s="733">
        <v>6</v>
      </c>
      <c r="AL83" s="736">
        <f t="shared" si="56"/>
        <v>0.0016488046166529267</v>
      </c>
      <c r="AM83" s="733">
        <v>14</v>
      </c>
      <c r="AN83" s="736">
        <f t="shared" si="57"/>
        <v>0.07734806629834254</v>
      </c>
      <c r="AO83" s="733">
        <v>31</v>
      </c>
      <c r="AP83" s="737">
        <f t="shared" si="58"/>
        <v>0.007275287491199249</v>
      </c>
      <c r="AQ83" s="738">
        <v>15242.939999999999</v>
      </c>
      <c r="AR83" s="736">
        <f t="shared" si="59"/>
        <v>0.03503454213054157</v>
      </c>
      <c r="AS83" s="733">
        <v>25276.079999999998</v>
      </c>
      <c r="AT83" s="736">
        <f t="shared" si="60"/>
        <v>0.02698193974980533</v>
      </c>
      <c r="AU83" s="733">
        <v>3568.2</v>
      </c>
      <c r="AV83" s="736">
        <f t="shared" si="61"/>
        <v>0.030428215607981028</v>
      </c>
      <c r="AW83" s="733">
        <f t="shared" si="45"/>
        <v>44087.219999999994</v>
      </c>
      <c r="AX83" s="737">
        <f t="shared" si="62"/>
        <v>0.029606083445961953</v>
      </c>
      <c r="AY83" s="739">
        <v>18341.46</v>
      </c>
      <c r="AZ83" s="736">
        <f t="shared" si="63"/>
        <v>0.02773564835279695</v>
      </c>
      <c r="BA83" s="733">
        <v>28592.339999999997</v>
      </c>
      <c r="BB83" s="736">
        <f t="shared" si="64"/>
        <v>0.03319160050752642</v>
      </c>
      <c r="BC83" s="733">
        <v>2334.72</v>
      </c>
      <c r="BD83" s="736">
        <f t="shared" si="65"/>
        <v>0.06312486920634817</v>
      </c>
      <c r="BE83" s="733">
        <f t="shared" si="66"/>
        <v>49268.52</v>
      </c>
      <c r="BF83" s="735">
        <f t="shared" si="67"/>
        <v>0.03158817051528398</v>
      </c>
      <c r="BH83" s="720"/>
    </row>
    <row r="84" spans="1:60" ht="11.25" customHeight="1">
      <c r="A84" s="681">
        <v>51000</v>
      </c>
      <c r="B84" s="682" t="s">
        <v>138</v>
      </c>
      <c r="C84" s="731">
        <v>5817.903</v>
      </c>
      <c r="D84" s="737">
        <f t="shared" si="46"/>
        <v>0.002981804174047251</v>
      </c>
      <c r="E84" s="739">
        <v>98900.09999999999</v>
      </c>
      <c r="F84" s="737">
        <f t="shared" si="47"/>
        <v>0.20490766836649385</v>
      </c>
      <c r="G84" s="739">
        <v>11969</v>
      </c>
      <c r="H84" s="737">
        <f t="shared" si="48"/>
        <v>0.002682639460488623</v>
      </c>
      <c r="I84" s="739">
        <v>0</v>
      </c>
      <c r="J84" s="737">
        <f t="shared" si="49"/>
        <v>0</v>
      </c>
      <c r="K84" s="739">
        <v>12944.320000000002</v>
      </c>
      <c r="L84" s="737">
        <f t="shared" si="50"/>
        <v>0.002736772717300122</v>
      </c>
      <c r="M84" s="635"/>
      <c r="N84" s="758">
        <v>56.787000000000006</v>
      </c>
      <c r="O84" s="759">
        <v>56.153000000000006</v>
      </c>
      <c r="P84" s="760">
        <f t="shared" si="44"/>
        <v>226.19700000000003</v>
      </c>
      <c r="Q84" s="761">
        <f t="shared" si="51"/>
        <v>0.02431409323514265</v>
      </c>
      <c r="R84" s="123"/>
      <c r="S84" s="123"/>
      <c r="T84" s="123"/>
      <c r="U84" s="123"/>
      <c r="V84" s="123"/>
      <c r="W84" s="123"/>
      <c r="X84" s="123"/>
      <c r="Y84" s="123"/>
      <c r="AA84" s="731">
        <v>84</v>
      </c>
      <c r="AB84" s="736">
        <f t="shared" si="68"/>
        <v>0.005413766434648105</v>
      </c>
      <c r="AC84" s="733">
        <v>86</v>
      </c>
      <c r="AD84" s="736">
        <f t="shared" si="52"/>
        <v>0.008556362550989951</v>
      </c>
      <c r="AE84" s="733">
        <v>23</v>
      </c>
      <c r="AF84" s="736">
        <f t="shared" si="53"/>
        <v>0.007145076110593352</v>
      </c>
      <c r="AG84" s="733">
        <v>193</v>
      </c>
      <c r="AH84" s="737">
        <f t="shared" si="54"/>
        <v>0.0067046480928229</v>
      </c>
      <c r="AI84" s="738">
        <v>12</v>
      </c>
      <c r="AJ84" s="736">
        <f t="shared" si="55"/>
        <v>0.027210884353741496</v>
      </c>
      <c r="AK84" s="733">
        <v>27</v>
      </c>
      <c r="AL84" s="736">
        <f t="shared" si="56"/>
        <v>0.00741962077493817</v>
      </c>
      <c r="AM84" s="733"/>
      <c r="AN84" s="736">
        <f t="shared" si="57"/>
        <v>0</v>
      </c>
      <c r="AO84" s="733">
        <v>39</v>
      </c>
      <c r="AP84" s="737">
        <f t="shared" si="58"/>
        <v>0.009152781037315184</v>
      </c>
      <c r="AQ84" s="738">
        <v>3639.36</v>
      </c>
      <c r="AR84" s="736">
        <f t="shared" si="59"/>
        <v>0.008364745334443867</v>
      </c>
      <c r="AS84" s="733">
        <v>10481.52</v>
      </c>
      <c r="AT84" s="736">
        <f t="shared" si="60"/>
        <v>0.011188908292993991</v>
      </c>
      <c r="AU84" s="733">
        <v>698.7</v>
      </c>
      <c r="AV84" s="736">
        <f t="shared" si="61"/>
        <v>0.005958240638219928</v>
      </c>
      <c r="AW84" s="733">
        <f t="shared" si="45"/>
        <v>14819.580000000002</v>
      </c>
      <c r="AX84" s="737">
        <f t="shared" si="62"/>
        <v>0.009951857298194556</v>
      </c>
      <c r="AY84" s="739">
        <v>26663.82</v>
      </c>
      <c r="AZ84" s="736">
        <f t="shared" si="63"/>
        <v>0.040320581636482285</v>
      </c>
      <c r="BA84" s="733">
        <v>2562.2400000000002</v>
      </c>
      <c r="BB84" s="736">
        <f t="shared" si="64"/>
        <v>0.002974392668959746</v>
      </c>
      <c r="BC84" s="733">
        <v>0</v>
      </c>
      <c r="BD84" s="736">
        <f t="shared" si="65"/>
        <v>0</v>
      </c>
      <c r="BE84" s="733">
        <f t="shared" si="66"/>
        <v>29226.06</v>
      </c>
      <c r="BF84" s="735">
        <f t="shared" si="67"/>
        <v>0.0187380860389133</v>
      </c>
      <c r="BH84" s="720"/>
    </row>
    <row r="85" spans="1:60" ht="11.25" customHeight="1">
      <c r="A85" s="681">
        <v>52000</v>
      </c>
      <c r="B85" s="682" t="s">
        <v>139</v>
      </c>
      <c r="C85" s="731">
        <v>835.307</v>
      </c>
      <c r="D85" s="737">
        <f t="shared" si="46"/>
        <v>0.0004281133424209525</v>
      </c>
      <c r="E85" s="739">
        <v>43167</v>
      </c>
      <c r="F85" s="737">
        <f t="shared" si="47"/>
        <v>0.08943620198944632</v>
      </c>
      <c r="G85" s="739">
        <v>3418</v>
      </c>
      <c r="H85" s="737">
        <f t="shared" si="48"/>
        <v>0.0007660841904879366</v>
      </c>
      <c r="I85" s="739">
        <v>7147.5</v>
      </c>
      <c r="J85" s="737">
        <f t="shared" si="49"/>
        <v>0.0027857600334567855</v>
      </c>
      <c r="K85" s="739">
        <v>2160</v>
      </c>
      <c r="L85" s="737">
        <f t="shared" si="50"/>
        <v>0.00045668131422649185</v>
      </c>
      <c r="M85" s="635"/>
      <c r="N85" s="758">
        <v>11.25</v>
      </c>
      <c r="O85" s="759">
        <v>7.683</v>
      </c>
      <c r="P85" s="760">
        <f t="shared" si="44"/>
        <v>39.6495</v>
      </c>
      <c r="Q85" s="761">
        <f t="shared" si="51"/>
        <v>0.004261955904484978</v>
      </c>
      <c r="R85" s="123"/>
      <c r="S85" s="123"/>
      <c r="T85" s="123"/>
      <c r="U85" s="123"/>
      <c r="V85" s="123"/>
      <c r="W85" s="123"/>
      <c r="X85" s="123"/>
      <c r="Y85" s="123"/>
      <c r="AA85" s="731">
        <v>0</v>
      </c>
      <c r="AB85" s="736">
        <f t="shared" si="68"/>
        <v>0</v>
      </c>
      <c r="AC85" s="733">
        <v>20</v>
      </c>
      <c r="AD85" s="736">
        <f t="shared" si="52"/>
        <v>0.0019898517560441747</v>
      </c>
      <c r="AE85" s="733">
        <v>5</v>
      </c>
      <c r="AF85" s="736">
        <f t="shared" si="53"/>
        <v>0.0015532774153463808</v>
      </c>
      <c r="AG85" s="733">
        <v>25</v>
      </c>
      <c r="AH85" s="737">
        <f t="shared" si="54"/>
        <v>0.0008684777322309456</v>
      </c>
      <c r="AI85" s="738">
        <v>0</v>
      </c>
      <c r="AJ85" s="736">
        <f t="shared" si="55"/>
        <v>0</v>
      </c>
      <c r="AK85" s="733">
        <v>0</v>
      </c>
      <c r="AL85" s="736">
        <f t="shared" si="56"/>
        <v>0</v>
      </c>
      <c r="AM85" s="733">
        <v>0</v>
      </c>
      <c r="AN85" s="736">
        <f t="shared" si="57"/>
        <v>0</v>
      </c>
      <c r="AO85" s="733">
        <v>0</v>
      </c>
      <c r="AP85" s="737">
        <f t="shared" si="58"/>
        <v>0</v>
      </c>
      <c r="AQ85" s="738">
        <v>0</v>
      </c>
      <c r="AR85" s="736">
        <f t="shared" si="59"/>
        <v>0</v>
      </c>
      <c r="AS85" s="733">
        <v>3760</v>
      </c>
      <c r="AT85" s="736">
        <f t="shared" si="60"/>
        <v>0.004013758995036732</v>
      </c>
      <c r="AU85" s="733">
        <v>0</v>
      </c>
      <c r="AV85" s="736">
        <f t="shared" si="61"/>
        <v>0</v>
      </c>
      <c r="AW85" s="733">
        <f t="shared" si="45"/>
        <v>3760</v>
      </c>
      <c r="AX85" s="737">
        <f t="shared" si="62"/>
        <v>0.0025249692259302573</v>
      </c>
      <c r="AY85" s="739">
        <v>0</v>
      </c>
      <c r="AZ85" s="736">
        <f t="shared" si="63"/>
        <v>0</v>
      </c>
      <c r="BA85" s="733">
        <v>3918</v>
      </c>
      <c r="BB85" s="736">
        <f t="shared" si="64"/>
        <v>0.004548235324163343</v>
      </c>
      <c r="BC85" s="733">
        <v>0</v>
      </c>
      <c r="BD85" s="736">
        <f t="shared" si="65"/>
        <v>0</v>
      </c>
      <c r="BE85" s="733">
        <f t="shared" si="66"/>
        <v>3918</v>
      </c>
      <c r="BF85" s="735">
        <f t="shared" si="67"/>
        <v>0.0025119985759442876</v>
      </c>
      <c r="BH85" s="720"/>
    </row>
    <row r="86" spans="1:60" ht="11.25" customHeight="1">
      <c r="A86" s="681">
        <v>53000</v>
      </c>
      <c r="B86" s="682" t="s">
        <v>69</v>
      </c>
      <c r="C86" s="731">
        <v>1305.814</v>
      </c>
      <c r="D86" s="737">
        <f t="shared" si="46"/>
        <v>0.0006692586032681083</v>
      </c>
      <c r="E86" s="739">
        <v>62899.1</v>
      </c>
      <c r="F86" s="737">
        <f t="shared" si="47"/>
        <v>0.13031845188580127</v>
      </c>
      <c r="G86" s="739">
        <v>5002</v>
      </c>
      <c r="H86" s="737">
        <f t="shared" si="48"/>
        <v>0.001121109748630971</v>
      </c>
      <c r="I86" s="739">
        <v>0</v>
      </c>
      <c r="J86" s="737">
        <f t="shared" si="49"/>
        <v>0</v>
      </c>
      <c r="K86" s="739">
        <v>10417</v>
      </c>
      <c r="L86" s="737">
        <f t="shared" si="50"/>
        <v>0.0022024302084710026</v>
      </c>
      <c r="M86" s="635"/>
      <c r="N86" s="758">
        <v>8.208</v>
      </c>
      <c r="O86" s="759">
        <v>10.75</v>
      </c>
      <c r="P86" s="760">
        <f t="shared" si="44"/>
        <v>36.644999999999996</v>
      </c>
      <c r="Q86" s="761">
        <f t="shared" si="51"/>
        <v>0.003938999839086293</v>
      </c>
      <c r="R86" s="123"/>
      <c r="S86" s="123"/>
      <c r="T86" s="123"/>
      <c r="U86" s="123"/>
      <c r="V86" s="123"/>
      <c r="W86" s="123"/>
      <c r="X86" s="123"/>
      <c r="Y86" s="123"/>
      <c r="AA86" s="731">
        <v>21</v>
      </c>
      <c r="AB86" s="736">
        <f t="shared" si="68"/>
        <v>0.0013534416086620263</v>
      </c>
      <c r="AC86" s="733">
        <v>26</v>
      </c>
      <c r="AD86" s="736">
        <f t="shared" si="52"/>
        <v>0.002586807282857427</v>
      </c>
      <c r="AE86" s="733">
        <v>1</v>
      </c>
      <c r="AF86" s="736">
        <f t="shared" si="53"/>
        <v>0.00031065548306927616</v>
      </c>
      <c r="AG86" s="733">
        <v>48</v>
      </c>
      <c r="AH86" s="737">
        <f t="shared" si="54"/>
        <v>0.0016674772458834155</v>
      </c>
      <c r="AI86" s="738"/>
      <c r="AJ86" s="736">
        <f t="shared" si="55"/>
        <v>0</v>
      </c>
      <c r="AK86" s="733">
        <v>27</v>
      </c>
      <c r="AL86" s="736">
        <f t="shared" si="56"/>
        <v>0.00741962077493817</v>
      </c>
      <c r="AM86" s="733"/>
      <c r="AN86" s="736">
        <f t="shared" si="57"/>
        <v>0</v>
      </c>
      <c r="AO86" s="733">
        <v>27</v>
      </c>
      <c r="AP86" s="737">
        <f t="shared" si="58"/>
        <v>0.0063365407181412816</v>
      </c>
      <c r="AQ86" s="738">
        <v>2036</v>
      </c>
      <c r="AR86" s="736">
        <f t="shared" si="59"/>
        <v>0.004679564951235302</v>
      </c>
      <c r="AS86" s="733">
        <v>6755</v>
      </c>
      <c r="AT86" s="736">
        <f t="shared" si="60"/>
        <v>0.007210888832838597</v>
      </c>
      <c r="AU86" s="733">
        <v>0</v>
      </c>
      <c r="AV86" s="736">
        <f t="shared" si="61"/>
        <v>0</v>
      </c>
      <c r="AW86" s="733">
        <f t="shared" si="45"/>
        <v>8791</v>
      </c>
      <c r="AX86" s="737">
        <f t="shared" si="62"/>
        <v>0.005903458634349173</v>
      </c>
      <c r="AY86" s="739">
        <v>0</v>
      </c>
      <c r="AZ86" s="736">
        <f t="shared" si="63"/>
        <v>0</v>
      </c>
      <c r="BA86" s="733">
        <v>10051</v>
      </c>
      <c r="BB86" s="736">
        <f t="shared" si="64"/>
        <v>0.01166776754547365</v>
      </c>
      <c r="BC86" s="733">
        <v>0</v>
      </c>
      <c r="BD86" s="736">
        <f t="shared" si="65"/>
        <v>0</v>
      </c>
      <c r="BE86" s="733">
        <f t="shared" si="66"/>
        <v>10051</v>
      </c>
      <c r="BF86" s="735">
        <f t="shared" si="67"/>
        <v>0.006444129067589595</v>
      </c>
      <c r="BH86" s="720"/>
    </row>
    <row r="87" spans="1:60" ht="11.25" customHeight="1">
      <c r="A87" s="681">
        <v>54000</v>
      </c>
      <c r="B87" s="682" t="s">
        <v>140</v>
      </c>
      <c r="C87" s="731">
        <v>2241.673</v>
      </c>
      <c r="D87" s="737">
        <f t="shared" si="46"/>
        <v>0.001148907073261452</v>
      </c>
      <c r="E87" s="739">
        <v>85531.1</v>
      </c>
      <c r="F87" s="737">
        <f t="shared" si="47"/>
        <v>0.17720890346745277</v>
      </c>
      <c r="G87" s="739">
        <v>2447</v>
      </c>
      <c r="H87" s="737">
        <f t="shared" si="48"/>
        <v>0.0005484517302878821</v>
      </c>
      <c r="I87" s="739">
        <v>0</v>
      </c>
      <c r="J87" s="737">
        <f t="shared" si="49"/>
        <v>0</v>
      </c>
      <c r="K87" s="739">
        <v>7725.32</v>
      </c>
      <c r="L87" s="737">
        <f t="shared" si="50"/>
        <v>0.0016333376344537971</v>
      </c>
      <c r="M87" s="635"/>
      <c r="N87" s="758">
        <v>24.781</v>
      </c>
      <c r="O87" s="759">
        <v>42.172</v>
      </c>
      <c r="P87" s="760">
        <f t="shared" si="44"/>
        <v>125.2105</v>
      </c>
      <c r="Q87" s="761">
        <f t="shared" si="51"/>
        <v>0.013458975013014445</v>
      </c>
      <c r="R87" s="123"/>
      <c r="S87" s="123"/>
      <c r="T87" s="123"/>
      <c r="U87" s="123"/>
      <c r="V87" s="123"/>
      <c r="W87" s="123"/>
      <c r="X87" s="123"/>
      <c r="Y87" s="123"/>
      <c r="AA87" s="731">
        <v>55</v>
      </c>
      <c r="AB87" s="736">
        <f t="shared" si="68"/>
        <v>0.003544728022686259</v>
      </c>
      <c r="AC87" s="733">
        <v>46</v>
      </c>
      <c r="AD87" s="736">
        <f t="shared" si="52"/>
        <v>0.004576659038901602</v>
      </c>
      <c r="AE87" s="733">
        <v>8</v>
      </c>
      <c r="AF87" s="736">
        <f t="shared" si="53"/>
        <v>0.0024852438645542093</v>
      </c>
      <c r="AG87" s="733">
        <v>109</v>
      </c>
      <c r="AH87" s="737">
        <f t="shared" si="54"/>
        <v>0.0037865629125269228</v>
      </c>
      <c r="AI87" s="738"/>
      <c r="AJ87" s="736">
        <f t="shared" si="55"/>
        <v>0</v>
      </c>
      <c r="AK87" s="733">
        <v>0</v>
      </c>
      <c r="AL87" s="736">
        <f t="shared" si="56"/>
        <v>0</v>
      </c>
      <c r="AM87" s="733">
        <v>2</v>
      </c>
      <c r="AN87" s="736">
        <f t="shared" si="57"/>
        <v>0.011049723756906077</v>
      </c>
      <c r="AO87" s="733">
        <v>2</v>
      </c>
      <c r="AP87" s="737">
        <f t="shared" si="58"/>
        <v>0.0004693733865289838</v>
      </c>
      <c r="AQ87" s="738">
        <v>3443.52</v>
      </c>
      <c r="AR87" s="736">
        <f t="shared" si="59"/>
        <v>0.007914624509271998</v>
      </c>
      <c r="AS87" s="733">
        <v>6648.36</v>
      </c>
      <c r="AT87" s="736">
        <f t="shared" si="60"/>
        <v>0.00709705179580915</v>
      </c>
      <c r="AU87" s="733">
        <v>575.28</v>
      </c>
      <c r="AV87" s="736">
        <f t="shared" si="61"/>
        <v>0.004905763094826335</v>
      </c>
      <c r="AW87" s="733">
        <f t="shared" si="45"/>
        <v>10667.16</v>
      </c>
      <c r="AX87" s="737">
        <f t="shared" si="62"/>
        <v>0.007163364555338884</v>
      </c>
      <c r="AY87" s="739">
        <v>2028.78</v>
      </c>
      <c r="AZ87" s="736">
        <f t="shared" si="63"/>
        <v>0.0030678871074160613</v>
      </c>
      <c r="BA87" s="733">
        <v>1950.24</v>
      </c>
      <c r="BB87" s="736">
        <f t="shared" si="64"/>
        <v>0.0022639485601317812</v>
      </c>
      <c r="BC87" s="733">
        <v>403.92</v>
      </c>
      <c r="BD87" s="736">
        <f t="shared" si="65"/>
        <v>0.010920965755991364</v>
      </c>
      <c r="BE87" s="733">
        <f t="shared" si="66"/>
        <v>4382.94</v>
      </c>
      <c r="BF87" s="735">
        <f t="shared" si="67"/>
        <v>0.0028100916381953176</v>
      </c>
      <c r="BH87" s="720"/>
    </row>
    <row r="88" spans="1:60" ht="11.25" customHeight="1">
      <c r="A88" s="681">
        <v>55000</v>
      </c>
      <c r="B88" s="682" t="s">
        <v>57</v>
      </c>
      <c r="C88" s="731">
        <v>0</v>
      </c>
      <c r="D88" s="737">
        <f t="shared" si="46"/>
        <v>0</v>
      </c>
      <c r="E88" s="739">
        <v>0</v>
      </c>
      <c r="F88" s="737">
        <f t="shared" si="47"/>
        <v>0</v>
      </c>
      <c r="G88" s="739">
        <v>0</v>
      </c>
      <c r="H88" s="737">
        <f t="shared" si="48"/>
        <v>0</v>
      </c>
      <c r="I88" s="739">
        <v>0</v>
      </c>
      <c r="J88" s="737">
        <f t="shared" si="49"/>
        <v>0</v>
      </c>
      <c r="K88" s="739">
        <v>14580</v>
      </c>
      <c r="L88" s="737">
        <f t="shared" si="50"/>
        <v>0.00308259887102882</v>
      </c>
      <c r="M88" s="635"/>
      <c r="N88" s="758">
        <v>5.498</v>
      </c>
      <c r="O88" s="759">
        <v>12.677</v>
      </c>
      <c r="P88" s="760">
        <f t="shared" si="44"/>
        <v>32.7605</v>
      </c>
      <c r="Q88" s="761">
        <f t="shared" si="51"/>
        <v>0.0035214518823410155</v>
      </c>
      <c r="R88" s="123"/>
      <c r="S88" s="123"/>
      <c r="T88" s="123"/>
      <c r="U88" s="123"/>
      <c r="V88" s="123"/>
      <c r="W88" s="123"/>
      <c r="X88" s="123"/>
      <c r="Y88" s="123"/>
      <c r="AA88" s="731">
        <v>39</v>
      </c>
      <c r="AB88" s="736">
        <f t="shared" si="68"/>
        <v>0.0025135344160866204</v>
      </c>
      <c r="AC88" s="733">
        <v>0</v>
      </c>
      <c r="AD88" s="736">
        <f t="shared" si="52"/>
        <v>0</v>
      </c>
      <c r="AE88" s="733">
        <v>0</v>
      </c>
      <c r="AF88" s="736">
        <f t="shared" si="53"/>
        <v>0</v>
      </c>
      <c r="AG88" s="733">
        <v>39</v>
      </c>
      <c r="AH88" s="737">
        <f t="shared" si="54"/>
        <v>0.0013548252622802752</v>
      </c>
      <c r="AI88" s="738">
        <v>0</v>
      </c>
      <c r="AJ88" s="736">
        <f t="shared" si="55"/>
        <v>0</v>
      </c>
      <c r="AK88" s="733">
        <v>0</v>
      </c>
      <c r="AL88" s="736">
        <f t="shared" si="56"/>
        <v>0</v>
      </c>
      <c r="AM88" s="733"/>
      <c r="AN88" s="736">
        <f t="shared" si="57"/>
        <v>0</v>
      </c>
      <c r="AO88" s="733">
        <v>0</v>
      </c>
      <c r="AP88" s="737">
        <f t="shared" si="58"/>
        <v>0</v>
      </c>
      <c r="AQ88" s="738">
        <v>6597.36</v>
      </c>
      <c r="AR88" s="736">
        <f t="shared" si="59"/>
        <v>0.015163445297977276</v>
      </c>
      <c r="AS88" s="733">
        <v>0</v>
      </c>
      <c r="AT88" s="736">
        <f t="shared" si="60"/>
        <v>0</v>
      </c>
      <c r="AU88" s="733">
        <v>0</v>
      </c>
      <c r="AV88" s="736">
        <f t="shared" si="61"/>
        <v>0</v>
      </c>
      <c r="AW88" s="733">
        <f t="shared" si="45"/>
        <v>6597.36</v>
      </c>
      <c r="AX88" s="737">
        <f t="shared" si="62"/>
        <v>0.00443035398201682</v>
      </c>
      <c r="AY88" s="739">
        <v>1109.76</v>
      </c>
      <c r="AZ88" s="736">
        <f t="shared" si="63"/>
        <v>0.001678160469013914</v>
      </c>
      <c r="BA88" s="733">
        <v>0</v>
      </c>
      <c r="BB88" s="736">
        <f t="shared" si="64"/>
        <v>0</v>
      </c>
      <c r="BC88" s="733">
        <v>0</v>
      </c>
      <c r="BD88" s="736">
        <f t="shared" si="65"/>
        <v>0</v>
      </c>
      <c r="BE88" s="733">
        <f t="shared" si="66"/>
        <v>1109.76</v>
      </c>
      <c r="BF88" s="735">
        <f t="shared" si="67"/>
        <v>0.0007115149412046791</v>
      </c>
      <c r="BH88" s="720"/>
    </row>
    <row r="89" spans="1:60" ht="11.25" customHeight="1">
      <c r="A89" s="740">
        <v>56000</v>
      </c>
      <c r="B89" s="741" t="s">
        <v>141</v>
      </c>
      <c r="C89" s="742">
        <v>1122.015</v>
      </c>
      <c r="D89" s="747">
        <f t="shared" si="46"/>
        <v>0.0005750575439885516</v>
      </c>
      <c r="E89" s="749">
        <v>0</v>
      </c>
      <c r="F89" s="747">
        <f t="shared" si="47"/>
        <v>0</v>
      </c>
      <c r="G89" s="749">
        <v>0</v>
      </c>
      <c r="H89" s="747">
        <f t="shared" si="48"/>
        <v>0</v>
      </c>
      <c r="I89" s="749">
        <v>0</v>
      </c>
      <c r="J89" s="747">
        <f t="shared" si="49"/>
        <v>0</v>
      </c>
      <c r="K89" s="749">
        <v>10111.29</v>
      </c>
      <c r="L89" s="747">
        <f t="shared" si="50"/>
        <v>0.0021377950026505487</v>
      </c>
      <c r="M89" s="635"/>
      <c r="N89" s="763">
        <v>4.333</v>
      </c>
      <c r="O89" s="764">
        <v>7.91</v>
      </c>
      <c r="P89" s="765">
        <f t="shared" si="44"/>
        <v>22.697499999999998</v>
      </c>
      <c r="Q89" s="766">
        <f t="shared" si="51"/>
        <v>0.002439772106635588</v>
      </c>
      <c r="R89" s="123"/>
      <c r="S89" s="123"/>
      <c r="T89" s="123"/>
      <c r="U89" s="123"/>
      <c r="V89" s="123"/>
      <c r="W89" s="123"/>
      <c r="X89" s="123"/>
      <c r="Y89" s="123"/>
      <c r="AA89" s="742">
        <v>42</v>
      </c>
      <c r="AB89" s="743">
        <f t="shared" si="68"/>
        <v>0.0027068832173240526</v>
      </c>
      <c r="AC89" s="744">
        <v>0</v>
      </c>
      <c r="AD89" s="743">
        <f t="shared" si="52"/>
        <v>0</v>
      </c>
      <c r="AE89" s="744">
        <v>0</v>
      </c>
      <c r="AF89" s="743">
        <f t="shared" si="53"/>
        <v>0</v>
      </c>
      <c r="AG89" s="744">
        <v>42</v>
      </c>
      <c r="AH89" s="747">
        <f t="shared" si="54"/>
        <v>0.0014590425901479887</v>
      </c>
      <c r="AI89" s="748">
        <v>0</v>
      </c>
      <c r="AJ89" s="743">
        <f t="shared" si="55"/>
        <v>0</v>
      </c>
      <c r="AK89" s="744">
        <v>0</v>
      </c>
      <c r="AL89" s="743">
        <f t="shared" si="56"/>
        <v>0</v>
      </c>
      <c r="AM89" s="744"/>
      <c r="AN89" s="743">
        <f t="shared" si="57"/>
        <v>0</v>
      </c>
      <c r="AO89" s="744">
        <v>0</v>
      </c>
      <c r="AP89" s="747">
        <f>AO89/$AO$63</f>
        <v>0</v>
      </c>
      <c r="AQ89" s="748">
        <v>3010.74</v>
      </c>
      <c r="AR89" s="743">
        <f t="shared" si="59"/>
        <v>0.0069199181636945845</v>
      </c>
      <c r="AS89" s="744">
        <v>0</v>
      </c>
      <c r="AT89" s="743">
        <f t="shared" si="60"/>
        <v>0</v>
      </c>
      <c r="AU89" s="744">
        <v>0</v>
      </c>
      <c r="AV89" s="743">
        <f t="shared" si="61"/>
        <v>0</v>
      </c>
      <c r="AW89" s="733">
        <f t="shared" si="45"/>
        <v>3010.74</v>
      </c>
      <c r="AX89" s="747">
        <f t="shared" si="62"/>
        <v>0.0020218153849141654</v>
      </c>
      <c r="AY89" s="749">
        <v>1338.36</v>
      </c>
      <c r="AZ89" s="743">
        <f t="shared" si="63"/>
        <v>0.002023845556975798</v>
      </c>
      <c r="BA89" s="744">
        <v>0</v>
      </c>
      <c r="BB89" s="743">
        <f>BA89/$BA$63</f>
        <v>0</v>
      </c>
      <c r="BC89" s="744">
        <v>0</v>
      </c>
      <c r="BD89" s="743">
        <f>BC89/$BC$63</f>
        <v>0</v>
      </c>
      <c r="BE89" s="744">
        <f t="shared" si="66"/>
        <v>1338.36</v>
      </c>
      <c r="BF89" s="746">
        <f>BE89/$BE$63</f>
        <v>0.0008580802486219491</v>
      </c>
      <c r="BH89" s="720"/>
    </row>
    <row r="90" spans="5:60" ht="8.25" customHeight="1">
      <c r="E90" s="718"/>
      <c r="G90" s="718"/>
      <c r="H90" s="635"/>
      <c r="I90" s="635"/>
      <c r="J90" s="635"/>
      <c r="K90" s="718"/>
      <c r="L90" s="635"/>
      <c r="M90" s="635"/>
      <c r="N90" s="635"/>
      <c r="O90" s="635"/>
      <c r="P90" s="635"/>
      <c r="Q90" s="767"/>
      <c r="R90" s="123"/>
      <c r="AG90" s="718"/>
      <c r="AH90" s="718"/>
      <c r="AI90" s="718"/>
      <c r="AJ90" s="718"/>
      <c r="AK90" s="718"/>
      <c r="AL90" s="718"/>
      <c r="AM90" s="718"/>
      <c r="AN90" s="718"/>
      <c r="AO90" s="718"/>
      <c r="AP90" s="718"/>
      <c r="AQ90" s="718"/>
      <c r="AR90" s="718"/>
      <c r="AS90" s="718"/>
      <c r="AT90" s="718"/>
      <c r="AU90" s="718"/>
      <c r="AV90" s="718"/>
      <c r="AW90" s="718"/>
      <c r="AX90" s="718"/>
      <c r="AY90" s="718"/>
      <c r="AZ90" s="718"/>
      <c r="BA90" s="718"/>
      <c r="BB90" s="718"/>
      <c r="BC90" s="718"/>
      <c r="BD90" s="718"/>
      <c r="BE90" s="718"/>
      <c r="BH90" s="720"/>
    </row>
    <row r="91" spans="1:61" ht="15">
      <c r="A91" s="721" t="s">
        <v>438</v>
      </c>
      <c r="B91" s="722" t="s">
        <v>436</v>
      </c>
      <c r="C91" s="723"/>
      <c r="D91" s="752"/>
      <c r="E91" s="728"/>
      <c r="F91" s="751"/>
      <c r="G91" s="753">
        <f>SUM(G92:G117)</f>
        <v>4710472.64956</v>
      </c>
      <c r="H91" s="751">
        <f>SUM(H92:H117)</f>
        <v>1.0000000000000002</v>
      </c>
      <c r="I91" s="752"/>
      <c r="J91" s="752"/>
      <c r="K91" s="753">
        <f>SUM(K92:K117)</f>
        <v>4612928.61</v>
      </c>
      <c r="L91" s="768">
        <f>SUM(L92:L117)</f>
        <v>1</v>
      </c>
      <c r="M91" s="635"/>
      <c r="N91" s="769">
        <f>SUM(N92:N117)</f>
        <v>1924.4000000000003</v>
      </c>
      <c r="O91" s="770">
        <f>SUM(O92:O117)</f>
        <v>3393.4859999999994</v>
      </c>
      <c r="P91" s="755">
        <f>SUM(P92:P117)</f>
        <v>9901.229</v>
      </c>
      <c r="Q91" s="756">
        <f>SUM(Q92:Q117)</f>
        <v>1.0000000000000002</v>
      </c>
      <c r="R91" s="123"/>
      <c r="S91" s="123"/>
      <c r="T91" s="123"/>
      <c r="U91" s="123"/>
      <c r="V91" s="123"/>
      <c r="W91" s="123"/>
      <c r="X91" s="123"/>
      <c r="Y91" s="123"/>
      <c r="AA91" s="723">
        <f aca="true" t="shared" si="69" ref="AA91:AF91">SUM(AA92:AA117)</f>
        <v>14470</v>
      </c>
      <c r="AB91" s="724">
        <f t="shared" si="69"/>
        <v>1.0000000000000002</v>
      </c>
      <c r="AC91" s="725">
        <f t="shared" si="69"/>
        <v>9998</v>
      </c>
      <c r="AD91" s="724">
        <f t="shared" si="69"/>
        <v>1</v>
      </c>
      <c r="AE91" s="725">
        <f t="shared" si="69"/>
        <v>3112</v>
      </c>
      <c r="AF91" s="724">
        <f t="shared" si="69"/>
        <v>1</v>
      </c>
      <c r="AG91" s="725">
        <f>SUM(AG92:AG117)</f>
        <v>27580</v>
      </c>
      <c r="AH91" s="771">
        <f>SUM(AH92:AH117)</f>
        <v>1.0000000000000002</v>
      </c>
      <c r="AI91" s="753">
        <f aca="true" t="shared" si="70" ref="AI91:BF91">SUM(AI92:AI117)</f>
        <v>278</v>
      </c>
      <c r="AJ91" s="724">
        <f t="shared" si="70"/>
        <v>1</v>
      </c>
      <c r="AK91" s="725">
        <f t="shared" si="70"/>
        <v>3271</v>
      </c>
      <c r="AL91" s="724">
        <f t="shared" si="70"/>
        <v>1.0000000000000002</v>
      </c>
      <c r="AM91" s="725">
        <f t="shared" si="70"/>
        <v>157</v>
      </c>
      <c r="AN91" s="724">
        <f t="shared" si="70"/>
        <v>0.9999999999999999</v>
      </c>
      <c r="AO91" s="725">
        <f t="shared" si="70"/>
        <v>3706</v>
      </c>
      <c r="AP91" s="727">
        <f t="shared" si="70"/>
        <v>0.9999999999999999</v>
      </c>
      <c r="AQ91" s="753">
        <f>SUM(AQ92:AQ117)</f>
        <v>374060.08</v>
      </c>
      <c r="AR91" s="724">
        <f t="shared" si="70"/>
        <v>0.9999999999999999</v>
      </c>
      <c r="AS91" s="725">
        <f t="shared" si="70"/>
        <v>854388.04</v>
      </c>
      <c r="AT91" s="724">
        <f t="shared" si="70"/>
        <v>0.9999999999999998</v>
      </c>
      <c r="AU91" s="725">
        <f t="shared" si="70"/>
        <v>101630.82</v>
      </c>
      <c r="AV91" s="724">
        <f t="shared" si="70"/>
        <v>0.9999999999999998</v>
      </c>
      <c r="AW91" s="725">
        <f t="shared" si="70"/>
        <v>1330078.9399999997</v>
      </c>
      <c r="AX91" s="727">
        <f t="shared" si="70"/>
        <v>1.0000000000000002</v>
      </c>
      <c r="AY91" s="753">
        <f t="shared" si="70"/>
        <v>595689.8399999999</v>
      </c>
      <c r="AZ91" s="724">
        <f t="shared" si="70"/>
        <v>1</v>
      </c>
      <c r="BA91" s="725">
        <f t="shared" si="70"/>
        <v>763861.7</v>
      </c>
      <c r="BB91" s="724">
        <f t="shared" si="70"/>
        <v>1</v>
      </c>
      <c r="BC91" s="725">
        <f t="shared" si="70"/>
        <v>28696.14</v>
      </c>
      <c r="BD91" s="724">
        <f t="shared" si="70"/>
        <v>0.9999999999999999</v>
      </c>
      <c r="BE91" s="725">
        <f t="shared" si="70"/>
        <v>1388247.68</v>
      </c>
      <c r="BF91" s="726">
        <f t="shared" si="70"/>
        <v>0.9999999999999999</v>
      </c>
      <c r="BH91" s="123"/>
      <c r="BI91" s="123"/>
    </row>
    <row r="92" spans="1:61" ht="11.25" customHeight="1">
      <c r="A92" s="729">
        <v>11000</v>
      </c>
      <c r="B92" s="730" t="s">
        <v>121</v>
      </c>
      <c r="C92" s="731"/>
      <c r="D92" s="757"/>
      <c r="E92" s="772"/>
      <c r="F92" s="737"/>
      <c r="G92" s="739">
        <v>1177968.00979</v>
      </c>
      <c r="H92" s="737">
        <f>G92/$G$91</f>
        <v>0.25007427012659394</v>
      </c>
      <c r="I92" s="757"/>
      <c r="J92" s="757"/>
      <c r="K92" s="739">
        <v>1435111</v>
      </c>
      <c r="L92" s="735">
        <f>K92/$K$91</f>
        <v>0.31110626704452726</v>
      </c>
      <c r="M92" s="635"/>
      <c r="N92" s="758">
        <v>438.1369999999999</v>
      </c>
      <c r="O92" s="759">
        <v>788.532</v>
      </c>
      <c r="P92" s="760">
        <f aca="true" t="shared" si="71" ref="P92:P117">N92*2.5+O92*1.5</f>
        <v>2278.1404999999995</v>
      </c>
      <c r="Q92" s="761">
        <f>P92/$P$91</f>
        <v>0.2300866387394938</v>
      </c>
      <c r="R92" s="123"/>
      <c r="S92" s="123"/>
      <c r="T92" s="123"/>
      <c r="U92" s="123"/>
      <c r="V92" s="123"/>
      <c r="W92" s="123"/>
      <c r="X92" s="123"/>
      <c r="Y92" s="123"/>
      <c r="AA92" s="731">
        <v>1552</v>
      </c>
      <c r="AB92" s="736">
        <f aca="true" t="shared" si="72" ref="AB92:AB117">AA92/AA$91</f>
        <v>0.10725639253628197</v>
      </c>
      <c r="AC92" s="733">
        <v>2341</v>
      </c>
      <c r="AD92" s="736">
        <f aca="true" t="shared" si="73" ref="AD92:AD117">AC92/AC$91</f>
        <v>0.23414682936587317</v>
      </c>
      <c r="AE92" s="733">
        <v>1191</v>
      </c>
      <c r="AF92" s="736">
        <f aca="true" t="shared" si="74" ref="AF92:AF117">AE92/AE$91</f>
        <v>0.3827120822622108</v>
      </c>
      <c r="AG92" s="733">
        <f>AA92+AC92+AE92</f>
        <v>5084</v>
      </c>
      <c r="AH92" s="757">
        <f aca="true" t="shared" si="75" ref="AH92:AH117">AG92/AG$91</f>
        <v>0.18433647570703407</v>
      </c>
      <c r="AI92" s="733">
        <v>95</v>
      </c>
      <c r="AJ92" s="736">
        <f aca="true" t="shared" si="76" ref="AJ92:AJ117">AI92/AI$91</f>
        <v>0.34172661870503596</v>
      </c>
      <c r="AK92" s="733">
        <v>2108</v>
      </c>
      <c r="AL92" s="736">
        <f aca="true" t="shared" si="77" ref="AL92:AL117">AK92/AK$91</f>
        <v>0.6444512381534699</v>
      </c>
      <c r="AM92" s="733">
        <v>34</v>
      </c>
      <c r="AN92" s="736">
        <f aca="true" t="shared" si="78" ref="AN92:AN117">AM92/AM$91</f>
        <v>0.21656050955414013</v>
      </c>
      <c r="AO92" s="733">
        <f>AI92+AK92+AM92</f>
        <v>2237</v>
      </c>
      <c r="AP92" s="737">
        <f aca="true" t="shared" si="79" ref="AP92:AP117">AO92/AO$91</f>
        <v>0.6036157582298974</v>
      </c>
      <c r="AQ92" s="739">
        <v>28228.5</v>
      </c>
      <c r="AR92" s="736">
        <f aca="true" t="shared" si="80" ref="AR92:AR117">AQ92/AQ$91</f>
        <v>0.07546514987645835</v>
      </c>
      <c r="AS92" s="733">
        <v>129096.3</v>
      </c>
      <c r="AT92" s="736">
        <f aca="true" t="shared" si="81" ref="AT92:AT117">AS92/AS$91</f>
        <v>0.15109797183022364</v>
      </c>
      <c r="AU92" s="733">
        <v>13203.9</v>
      </c>
      <c r="AV92" s="736">
        <f aca="true" t="shared" si="82" ref="AV92:AV116">AU92/AU$91</f>
        <v>0.12992023482640402</v>
      </c>
      <c r="AW92" s="733">
        <f>AQ92+AS92+AU92</f>
        <v>170528.69999999998</v>
      </c>
      <c r="AX92" s="737">
        <f aca="true" t="shared" si="83" ref="AX92:AX117">AW92/AW$91</f>
        <v>0.128209458004049</v>
      </c>
      <c r="AY92" s="739">
        <v>189646.56</v>
      </c>
      <c r="AZ92" s="736">
        <f aca="true" t="shared" si="84" ref="AZ92:AZ117">AY92/AY$91</f>
        <v>0.3183646039690723</v>
      </c>
      <c r="BA92" s="733">
        <v>144007.68</v>
      </c>
      <c r="BB92" s="736">
        <f aca="true" t="shared" si="85" ref="BB92:BB117">BA92/BA$91</f>
        <v>0.18852585487660922</v>
      </c>
      <c r="BC92" s="733">
        <v>13066.2</v>
      </c>
      <c r="BD92" s="736">
        <f aca="true" t="shared" si="86" ref="BD92:BD117">BC92/BC$91</f>
        <v>0.45532953212522664</v>
      </c>
      <c r="BE92" s="733">
        <f>AY92+BA92+BC92</f>
        <v>346720.44</v>
      </c>
      <c r="BF92" s="735">
        <f aca="true" t="shared" si="87" ref="BF92:BF117">BE92/BE$91</f>
        <v>0.2497540208387022</v>
      </c>
      <c r="BG92" s="718"/>
      <c r="BH92" s="123"/>
      <c r="BI92" s="123"/>
    </row>
    <row r="93" spans="1:61" ht="11.25" customHeight="1">
      <c r="A93" s="681">
        <v>12000</v>
      </c>
      <c r="B93" s="682" t="s">
        <v>122</v>
      </c>
      <c r="C93" s="731"/>
      <c r="D93" s="757"/>
      <c r="E93" s="738"/>
      <c r="F93" s="737"/>
      <c r="G93" s="739">
        <v>148717.41</v>
      </c>
      <c r="H93" s="737">
        <f aca="true" t="shared" si="88" ref="H93:H117">G93/$G$91</f>
        <v>0.031571653433523604</v>
      </c>
      <c r="I93" s="757"/>
      <c r="J93" s="757"/>
      <c r="K93" s="739">
        <v>106852.59</v>
      </c>
      <c r="L93" s="735">
        <f aca="true" t="shared" si="89" ref="L93:L117">K93/$K$91</f>
        <v>0.023163720714940782</v>
      </c>
      <c r="M93" s="635"/>
      <c r="N93" s="758">
        <v>52.884</v>
      </c>
      <c r="O93" s="759">
        <v>97.837</v>
      </c>
      <c r="P93" s="760">
        <f t="shared" si="71"/>
        <v>278.9655</v>
      </c>
      <c r="Q93" s="761">
        <f aca="true" t="shared" si="90" ref="Q93:Q117">P93/$P$91</f>
        <v>0.028174835669390136</v>
      </c>
      <c r="R93" s="123"/>
      <c r="S93" s="123"/>
      <c r="T93" s="123"/>
      <c r="U93" s="123"/>
      <c r="V93" s="123"/>
      <c r="W93" s="123"/>
      <c r="X93" s="123"/>
      <c r="Y93" s="123"/>
      <c r="AA93" s="731">
        <v>153</v>
      </c>
      <c r="AB93" s="736">
        <f t="shared" si="72"/>
        <v>0.010573600552868002</v>
      </c>
      <c r="AC93" s="733">
        <v>29</v>
      </c>
      <c r="AD93" s="736">
        <f t="shared" si="73"/>
        <v>0.0029005801160232048</v>
      </c>
      <c r="AE93" s="733">
        <v>76</v>
      </c>
      <c r="AF93" s="736">
        <f t="shared" si="74"/>
        <v>0.02442159383033419</v>
      </c>
      <c r="AG93" s="733">
        <f aca="true" t="shared" si="91" ref="AG93:AG117">AA93+AC93+AE93</f>
        <v>258</v>
      </c>
      <c r="AH93" s="757">
        <f t="shared" si="75"/>
        <v>0.009354604786076868</v>
      </c>
      <c r="AI93" s="733"/>
      <c r="AJ93" s="736">
        <f t="shared" si="76"/>
        <v>0</v>
      </c>
      <c r="AK93" s="733">
        <v>0</v>
      </c>
      <c r="AL93" s="736">
        <f t="shared" si="77"/>
        <v>0</v>
      </c>
      <c r="AM93" s="733"/>
      <c r="AN93" s="736">
        <f t="shared" si="78"/>
        <v>0</v>
      </c>
      <c r="AO93" s="733">
        <f aca="true" t="shared" si="92" ref="AO93:AO117">AI93+AK93+AM93</f>
        <v>0</v>
      </c>
      <c r="AP93" s="737">
        <f t="shared" si="79"/>
        <v>0</v>
      </c>
      <c r="AQ93" s="739">
        <v>13648.62</v>
      </c>
      <c r="AR93" s="736">
        <f t="shared" si="80"/>
        <v>0.03648777490503664</v>
      </c>
      <c r="AS93" s="733">
        <v>11309.76</v>
      </c>
      <c r="AT93" s="736">
        <f t="shared" si="81"/>
        <v>0.01323726394859179</v>
      </c>
      <c r="AU93" s="733">
        <v>1234.2</v>
      </c>
      <c r="AV93" s="736">
        <f t="shared" si="82"/>
        <v>0.012143953969868589</v>
      </c>
      <c r="AW93" s="733">
        <f aca="true" t="shared" si="93" ref="AW93:AW117">AQ93+AS93+AU93</f>
        <v>26192.58</v>
      </c>
      <c r="AX93" s="737">
        <f t="shared" si="83"/>
        <v>0.019692500356407423</v>
      </c>
      <c r="AY93" s="739">
        <v>6199.56</v>
      </c>
      <c r="AZ93" s="736">
        <f t="shared" si="84"/>
        <v>0.010407362328019564</v>
      </c>
      <c r="BA93" s="733">
        <v>3439.44</v>
      </c>
      <c r="BB93" s="736">
        <f t="shared" si="85"/>
        <v>0.004502699899733159</v>
      </c>
      <c r="BC93" s="733">
        <v>1150.56</v>
      </c>
      <c r="BD93" s="736">
        <f t="shared" si="86"/>
        <v>0.0400945911192237</v>
      </c>
      <c r="BE93" s="733">
        <f aca="true" t="shared" si="94" ref="BE93:BE117">AY93+BA93+BC93</f>
        <v>10789.56</v>
      </c>
      <c r="BF93" s="735">
        <f t="shared" si="87"/>
        <v>0.0077720713352821885</v>
      </c>
      <c r="BG93" s="718"/>
      <c r="BH93" s="123"/>
      <c r="BI93" s="123"/>
    </row>
    <row r="94" spans="1:61" ht="11.25" customHeight="1">
      <c r="A94" s="681">
        <v>13000</v>
      </c>
      <c r="B94" s="682" t="s">
        <v>123</v>
      </c>
      <c r="C94" s="731"/>
      <c r="D94" s="757"/>
      <c r="E94" s="738"/>
      <c r="F94" s="737"/>
      <c r="G94" s="739">
        <v>28306</v>
      </c>
      <c r="H94" s="737">
        <f t="shared" si="88"/>
        <v>0.006009163433449515</v>
      </c>
      <c r="I94" s="757"/>
      <c r="J94" s="757"/>
      <c r="K94" s="739">
        <v>51386</v>
      </c>
      <c r="L94" s="735">
        <f t="shared" si="89"/>
        <v>0.011139561078097845</v>
      </c>
      <c r="M94" s="635"/>
      <c r="N94" s="758">
        <v>37.713</v>
      </c>
      <c r="O94" s="759">
        <v>83.88</v>
      </c>
      <c r="P94" s="760">
        <f t="shared" si="71"/>
        <v>220.1025</v>
      </c>
      <c r="Q94" s="761">
        <f t="shared" si="90"/>
        <v>0.02222981611676692</v>
      </c>
      <c r="R94" s="123"/>
      <c r="S94" s="123"/>
      <c r="T94" s="123"/>
      <c r="U94" s="123"/>
      <c r="V94" s="123"/>
      <c r="W94" s="123"/>
      <c r="X94" s="123"/>
      <c r="Y94" s="123"/>
      <c r="AA94" s="731">
        <v>194</v>
      </c>
      <c r="AB94" s="736">
        <f t="shared" si="72"/>
        <v>0.013407049067035246</v>
      </c>
      <c r="AC94" s="733">
        <v>30</v>
      </c>
      <c r="AD94" s="736">
        <f t="shared" si="73"/>
        <v>0.0030006001200240046</v>
      </c>
      <c r="AE94" s="733">
        <v>7</v>
      </c>
      <c r="AF94" s="736">
        <f t="shared" si="74"/>
        <v>0.002249357326478149</v>
      </c>
      <c r="AG94" s="733">
        <f t="shared" si="91"/>
        <v>231</v>
      </c>
      <c r="AH94" s="757">
        <f t="shared" si="75"/>
        <v>0.008375634517766498</v>
      </c>
      <c r="AI94" s="733"/>
      <c r="AJ94" s="736">
        <f t="shared" si="76"/>
        <v>0</v>
      </c>
      <c r="AK94" s="733">
        <v>7</v>
      </c>
      <c r="AL94" s="736">
        <f t="shared" si="77"/>
        <v>0.0021400183430143687</v>
      </c>
      <c r="AM94" s="733"/>
      <c r="AN94" s="736">
        <f t="shared" si="78"/>
        <v>0</v>
      </c>
      <c r="AO94" s="733">
        <f t="shared" si="92"/>
        <v>7</v>
      </c>
      <c r="AP94" s="737">
        <f t="shared" si="79"/>
        <v>0.0018888289260658392</v>
      </c>
      <c r="AQ94" s="739">
        <v>26457.78</v>
      </c>
      <c r="AR94" s="736">
        <f t="shared" si="80"/>
        <v>0.07073136486523769</v>
      </c>
      <c r="AS94" s="733">
        <v>16710.66</v>
      </c>
      <c r="AT94" s="736">
        <f t="shared" si="81"/>
        <v>0.019558630525773744</v>
      </c>
      <c r="AU94" s="733">
        <v>0</v>
      </c>
      <c r="AV94" s="736">
        <f t="shared" si="82"/>
        <v>0</v>
      </c>
      <c r="AW94" s="733">
        <f t="shared" si="93"/>
        <v>43168.44</v>
      </c>
      <c r="AX94" s="737">
        <f t="shared" si="83"/>
        <v>0.032455547337664044</v>
      </c>
      <c r="AY94" s="739">
        <v>13928.1</v>
      </c>
      <c r="AZ94" s="736">
        <f t="shared" si="84"/>
        <v>0.023381463078168338</v>
      </c>
      <c r="BA94" s="733">
        <v>5112.24</v>
      </c>
      <c r="BB94" s="736">
        <f t="shared" si="85"/>
        <v>0.0066926251178714685</v>
      </c>
      <c r="BC94" s="733">
        <v>0</v>
      </c>
      <c r="BD94" s="736">
        <f t="shared" si="86"/>
        <v>0</v>
      </c>
      <c r="BE94" s="733">
        <f t="shared" si="94"/>
        <v>19040.34</v>
      </c>
      <c r="BF94" s="735">
        <f t="shared" si="87"/>
        <v>0.013715376783485783</v>
      </c>
      <c r="BG94" s="718"/>
      <c r="BH94" s="123"/>
      <c r="BI94" s="123"/>
    </row>
    <row r="95" spans="1:61" ht="11.25" customHeight="1">
      <c r="A95" s="681">
        <v>14000</v>
      </c>
      <c r="B95" s="682" t="s">
        <v>106</v>
      </c>
      <c r="C95" s="731"/>
      <c r="D95" s="757"/>
      <c r="E95" s="738"/>
      <c r="F95" s="737"/>
      <c r="G95" s="739">
        <v>611985</v>
      </c>
      <c r="H95" s="737">
        <f t="shared" si="88"/>
        <v>0.1299200835094892</v>
      </c>
      <c r="I95" s="757"/>
      <c r="J95" s="757"/>
      <c r="K95" s="739">
        <v>441123.56</v>
      </c>
      <c r="L95" s="735">
        <f t="shared" si="89"/>
        <v>0.09562765810936752</v>
      </c>
      <c r="M95" s="635"/>
      <c r="N95" s="758">
        <v>197.685</v>
      </c>
      <c r="O95" s="759">
        <v>300.661</v>
      </c>
      <c r="P95" s="760">
        <f t="shared" si="71"/>
        <v>945.204</v>
      </c>
      <c r="Q95" s="761">
        <f t="shared" si="90"/>
        <v>0.09546330056602065</v>
      </c>
      <c r="R95" s="123"/>
      <c r="S95" s="123"/>
      <c r="T95" s="123"/>
      <c r="U95" s="123"/>
      <c r="V95" s="123"/>
      <c r="W95" s="123"/>
      <c r="X95" s="123"/>
      <c r="Y95" s="123"/>
      <c r="AA95" s="731">
        <v>3023</v>
      </c>
      <c r="AB95" s="736">
        <f t="shared" si="72"/>
        <v>0.208914996544575</v>
      </c>
      <c r="AC95" s="733">
        <v>2573</v>
      </c>
      <c r="AD95" s="736">
        <f t="shared" si="73"/>
        <v>0.2573514702940588</v>
      </c>
      <c r="AE95" s="733">
        <v>518</v>
      </c>
      <c r="AF95" s="736">
        <f t="shared" si="74"/>
        <v>0.16645244215938304</v>
      </c>
      <c r="AG95" s="733">
        <f t="shared" si="91"/>
        <v>6114</v>
      </c>
      <c r="AH95" s="757">
        <f t="shared" si="75"/>
        <v>0.22168237853517042</v>
      </c>
      <c r="AI95" s="733"/>
      <c r="AJ95" s="736">
        <f t="shared" si="76"/>
        <v>0</v>
      </c>
      <c r="AK95" s="733">
        <v>486</v>
      </c>
      <c r="AL95" s="736">
        <f t="shared" si="77"/>
        <v>0.14857841638642616</v>
      </c>
      <c r="AM95" s="733">
        <v>12</v>
      </c>
      <c r="AN95" s="736">
        <f t="shared" si="78"/>
        <v>0.07643312101910828</v>
      </c>
      <c r="AO95" s="733">
        <f t="shared" si="92"/>
        <v>498</v>
      </c>
      <c r="AP95" s="737">
        <f t="shared" si="79"/>
        <v>0.13437668645439826</v>
      </c>
      <c r="AQ95" s="739">
        <v>68824.07999999999</v>
      </c>
      <c r="AR95" s="736">
        <f t="shared" si="80"/>
        <v>0.18399204748071482</v>
      </c>
      <c r="AS95" s="733">
        <v>164820.06</v>
      </c>
      <c r="AT95" s="736">
        <f t="shared" si="81"/>
        <v>0.19291007397528645</v>
      </c>
      <c r="AU95" s="733">
        <v>24244.379999999997</v>
      </c>
      <c r="AV95" s="736">
        <f t="shared" si="82"/>
        <v>0.23855342306595573</v>
      </c>
      <c r="AW95" s="733">
        <f t="shared" si="93"/>
        <v>257888.52</v>
      </c>
      <c r="AX95" s="737">
        <f t="shared" si="83"/>
        <v>0.1938896348512969</v>
      </c>
      <c r="AY95" s="739">
        <v>1516.2000000000003</v>
      </c>
      <c r="AZ95" s="736">
        <f t="shared" si="84"/>
        <v>0.002545284304328576</v>
      </c>
      <c r="BA95" s="733">
        <v>215160.18000000002</v>
      </c>
      <c r="BB95" s="736">
        <f t="shared" si="85"/>
        <v>0.281674261191522</v>
      </c>
      <c r="BC95" s="733">
        <v>391.02000000000004</v>
      </c>
      <c r="BD95" s="736">
        <f t="shared" si="86"/>
        <v>0.013626222899665252</v>
      </c>
      <c r="BE95" s="733">
        <f t="shared" si="94"/>
        <v>217067.40000000002</v>
      </c>
      <c r="BF95" s="735">
        <f t="shared" si="87"/>
        <v>0.15636071511389094</v>
      </c>
      <c r="BG95" s="718"/>
      <c r="BH95" s="123"/>
      <c r="BI95" s="123"/>
    </row>
    <row r="96" spans="1:61" ht="11.25" customHeight="1">
      <c r="A96" s="681">
        <v>15000</v>
      </c>
      <c r="B96" s="682" t="s">
        <v>124</v>
      </c>
      <c r="C96" s="731"/>
      <c r="D96" s="757"/>
      <c r="E96" s="738"/>
      <c r="F96" s="737"/>
      <c r="G96" s="739">
        <v>272785</v>
      </c>
      <c r="H96" s="737">
        <f t="shared" si="88"/>
        <v>0.05791032456700084</v>
      </c>
      <c r="I96" s="757"/>
      <c r="J96" s="757"/>
      <c r="K96" s="739">
        <v>284753</v>
      </c>
      <c r="L96" s="735">
        <f t="shared" si="89"/>
        <v>0.06172933164036111</v>
      </c>
      <c r="M96" s="635"/>
      <c r="N96" s="758">
        <v>114.04700000000001</v>
      </c>
      <c r="O96" s="759">
        <v>196.761</v>
      </c>
      <c r="P96" s="760">
        <f t="shared" si="71"/>
        <v>580.259</v>
      </c>
      <c r="Q96" s="761">
        <f t="shared" si="90"/>
        <v>0.05860474492610968</v>
      </c>
      <c r="R96" s="123"/>
      <c r="S96" s="123"/>
      <c r="T96" s="123"/>
      <c r="U96" s="123"/>
      <c r="V96" s="123"/>
      <c r="W96" s="123"/>
      <c r="X96" s="123"/>
      <c r="Y96" s="123"/>
      <c r="AA96" s="731">
        <v>339</v>
      </c>
      <c r="AB96" s="736">
        <f t="shared" si="72"/>
        <v>0.023427781617138908</v>
      </c>
      <c r="AC96" s="733">
        <v>602</v>
      </c>
      <c r="AD96" s="736">
        <f t="shared" si="73"/>
        <v>0.06021204240848169</v>
      </c>
      <c r="AE96" s="733">
        <v>165</v>
      </c>
      <c r="AF96" s="736">
        <f t="shared" si="74"/>
        <v>0.053020565552699225</v>
      </c>
      <c r="AG96" s="733">
        <f t="shared" si="91"/>
        <v>1106</v>
      </c>
      <c r="AH96" s="757">
        <f t="shared" si="75"/>
        <v>0.04010152284263959</v>
      </c>
      <c r="AI96" s="733"/>
      <c r="AJ96" s="736">
        <f t="shared" si="76"/>
        <v>0</v>
      </c>
      <c r="AK96" s="733">
        <v>280</v>
      </c>
      <c r="AL96" s="736">
        <f t="shared" si="77"/>
        <v>0.08560073372057475</v>
      </c>
      <c r="AM96" s="733">
        <v>13</v>
      </c>
      <c r="AN96" s="736">
        <f t="shared" si="78"/>
        <v>0.08280254777070063</v>
      </c>
      <c r="AO96" s="733">
        <f t="shared" si="92"/>
        <v>293</v>
      </c>
      <c r="AP96" s="737">
        <f t="shared" si="79"/>
        <v>0.07906098219104156</v>
      </c>
      <c r="AQ96" s="739">
        <v>39189.42</v>
      </c>
      <c r="AR96" s="736">
        <f t="shared" si="80"/>
        <v>0.10476771538946363</v>
      </c>
      <c r="AS96" s="733">
        <v>46500.78</v>
      </c>
      <c r="AT96" s="736">
        <f t="shared" si="81"/>
        <v>0.05442583208444725</v>
      </c>
      <c r="AU96" s="733">
        <v>5519.22</v>
      </c>
      <c r="AV96" s="736">
        <f t="shared" si="82"/>
        <v>0.054306557794180935</v>
      </c>
      <c r="AW96" s="733">
        <f t="shared" si="93"/>
        <v>91209.42</v>
      </c>
      <c r="AX96" s="737">
        <f t="shared" si="83"/>
        <v>0.06857444115309429</v>
      </c>
      <c r="AY96" s="739">
        <v>25402.08</v>
      </c>
      <c r="AZ96" s="736">
        <f t="shared" si="84"/>
        <v>0.042643131197268716</v>
      </c>
      <c r="BA96" s="733">
        <v>29881.920000000002</v>
      </c>
      <c r="BB96" s="736">
        <f t="shared" si="85"/>
        <v>0.03911954218937801</v>
      </c>
      <c r="BC96" s="733">
        <v>1119.96</v>
      </c>
      <c r="BD96" s="736">
        <f t="shared" si="86"/>
        <v>0.03902824561073371</v>
      </c>
      <c r="BE96" s="733">
        <f t="shared" si="94"/>
        <v>56403.96</v>
      </c>
      <c r="BF96" s="735">
        <f t="shared" si="87"/>
        <v>0.04062960868769469</v>
      </c>
      <c r="BG96" s="718"/>
      <c r="BH96" s="123"/>
      <c r="BI96" s="123"/>
    </row>
    <row r="97" spans="1:61" ht="11.25" customHeight="1">
      <c r="A97" s="681">
        <v>16000</v>
      </c>
      <c r="B97" s="682" t="s">
        <v>40</v>
      </c>
      <c r="C97" s="731"/>
      <c r="D97" s="757"/>
      <c r="E97" s="738"/>
      <c r="F97" s="737"/>
      <c r="G97" s="739">
        <v>33384</v>
      </c>
      <c r="H97" s="737">
        <f t="shared" si="88"/>
        <v>0.0070871868883727335</v>
      </c>
      <c r="I97" s="757"/>
      <c r="J97" s="757"/>
      <c r="K97" s="739">
        <v>76949</v>
      </c>
      <c r="L97" s="735">
        <f t="shared" si="89"/>
        <v>0.016681159954044896</v>
      </c>
      <c r="M97" s="635"/>
      <c r="N97" s="758">
        <v>33.836999999999996</v>
      </c>
      <c r="O97" s="759">
        <v>41.549</v>
      </c>
      <c r="P97" s="760">
        <f t="shared" si="71"/>
        <v>146.916</v>
      </c>
      <c r="Q97" s="761">
        <f t="shared" si="90"/>
        <v>0.01483815797008634</v>
      </c>
      <c r="R97" s="123"/>
      <c r="S97" s="123"/>
      <c r="T97" s="123"/>
      <c r="U97" s="123"/>
      <c r="V97" s="123"/>
      <c r="W97" s="123"/>
      <c r="X97" s="123"/>
      <c r="Y97" s="123"/>
      <c r="AA97" s="731">
        <v>22</v>
      </c>
      <c r="AB97" s="736">
        <f t="shared" si="72"/>
        <v>0.0015203870076019351</v>
      </c>
      <c r="AC97" s="733">
        <v>371</v>
      </c>
      <c r="AD97" s="736">
        <f t="shared" si="73"/>
        <v>0.03710742148429686</v>
      </c>
      <c r="AE97" s="733">
        <v>33</v>
      </c>
      <c r="AF97" s="736">
        <f t="shared" si="74"/>
        <v>0.010604113110539846</v>
      </c>
      <c r="AG97" s="733">
        <f t="shared" si="91"/>
        <v>426</v>
      </c>
      <c r="AH97" s="757">
        <f t="shared" si="75"/>
        <v>0.015445975344452502</v>
      </c>
      <c r="AI97" s="733"/>
      <c r="AJ97" s="736">
        <f t="shared" si="76"/>
        <v>0</v>
      </c>
      <c r="AK97" s="733">
        <v>205</v>
      </c>
      <c r="AL97" s="736">
        <f t="shared" si="77"/>
        <v>0.06267196575970652</v>
      </c>
      <c r="AM97" s="733"/>
      <c r="AN97" s="736">
        <f t="shared" si="78"/>
        <v>0</v>
      </c>
      <c r="AO97" s="733">
        <f t="shared" si="92"/>
        <v>205</v>
      </c>
      <c r="AP97" s="737">
        <f t="shared" si="79"/>
        <v>0.05531570426335672</v>
      </c>
      <c r="AQ97" s="739">
        <v>0</v>
      </c>
      <c r="AR97" s="736">
        <f t="shared" si="80"/>
        <v>0</v>
      </c>
      <c r="AS97" s="733">
        <v>7175.7</v>
      </c>
      <c r="AT97" s="736">
        <f t="shared" si="81"/>
        <v>0.008398642846170926</v>
      </c>
      <c r="AU97" s="733">
        <v>954.72</v>
      </c>
      <c r="AV97" s="736">
        <f t="shared" si="82"/>
        <v>0.009394000756857025</v>
      </c>
      <c r="AW97" s="733">
        <f t="shared" si="93"/>
        <v>8130.42</v>
      </c>
      <c r="AX97" s="737">
        <f t="shared" si="83"/>
        <v>0.006112734932860453</v>
      </c>
      <c r="AY97" s="739">
        <v>0</v>
      </c>
      <c r="AZ97" s="736">
        <f t="shared" si="84"/>
        <v>0</v>
      </c>
      <c r="BA97" s="733">
        <v>9469.68</v>
      </c>
      <c r="BB97" s="736">
        <f t="shared" si="85"/>
        <v>0.012397113247070773</v>
      </c>
      <c r="BC97" s="733">
        <v>36.72</v>
      </c>
      <c r="BD97" s="736">
        <f t="shared" si="86"/>
        <v>0.0012796146101879905</v>
      </c>
      <c r="BE97" s="733">
        <f t="shared" si="94"/>
        <v>9506.4</v>
      </c>
      <c r="BF97" s="735">
        <f t="shared" si="87"/>
        <v>0.006847769412443751</v>
      </c>
      <c r="BG97" s="718"/>
      <c r="BH97" s="123"/>
      <c r="BI97" s="123"/>
    </row>
    <row r="98" spans="1:61" ht="11.25" customHeight="1">
      <c r="A98" s="681">
        <v>17000</v>
      </c>
      <c r="B98" s="682" t="s">
        <v>125</v>
      </c>
      <c r="C98" s="731"/>
      <c r="D98" s="757"/>
      <c r="E98" s="738"/>
      <c r="F98" s="737"/>
      <c r="G98" s="739">
        <v>37564</v>
      </c>
      <c r="H98" s="737">
        <f t="shared" si="88"/>
        <v>0.007974571299869199</v>
      </c>
      <c r="I98" s="757"/>
      <c r="J98" s="757"/>
      <c r="K98" s="739">
        <v>52637.33</v>
      </c>
      <c r="L98" s="735">
        <f t="shared" si="89"/>
        <v>0.011410826928015259</v>
      </c>
      <c r="M98" s="635"/>
      <c r="N98" s="758">
        <v>32.965</v>
      </c>
      <c r="O98" s="759">
        <v>91.51</v>
      </c>
      <c r="P98" s="760">
        <f t="shared" si="71"/>
        <v>219.6775</v>
      </c>
      <c r="Q98" s="761">
        <f t="shared" si="90"/>
        <v>0.022186892152479255</v>
      </c>
      <c r="R98" s="123"/>
      <c r="S98" s="123"/>
      <c r="T98" s="123"/>
      <c r="U98" s="123"/>
      <c r="V98" s="123"/>
      <c r="W98" s="123"/>
      <c r="X98" s="123"/>
      <c r="Y98" s="123"/>
      <c r="AA98" s="731">
        <v>189</v>
      </c>
      <c r="AB98" s="736">
        <f t="shared" si="72"/>
        <v>0.013061506565307532</v>
      </c>
      <c r="AC98" s="733">
        <v>101</v>
      </c>
      <c r="AD98" s="736">
        <f t="shared" si="73"/>
        <v>0.010102020404080815</v>
      </c>
      <c r="AE98" s="733">
        <v>30</v>
      </c>
      <c r="AF98" s="736">
        <f t="shared" si="74"/>
        <v>0.009640102827763496</v>
      </c>
      <c r="AG98" s="733">
        <f t="shared" si="91"/>
        <v>320</v>
      </c>
      <c r="AH98" s="757">
        <f t="shared" si="75"/>
        <v>0.011602610587382161</v>
      </c>
      <c r="AI98" s="733">
        <v>54</v>
      </c>
      <c r="AJ98" s="736">
        <f t="shared" si="76"/>
        <v>0.19424460431654678</v>
      </c>
      <c r="AK98" s="733">
        <v>0</v>
      </c>
      <c r="AL98" s="736">
        <f t="shared" si="77"/>
        <v>0</v>
      </c>
      <c r="AM98" s="733">
        <v>1</v>
      </c>
      <c r="AN98" s="736">
        <f t="shared" si="78"/>
        <v>0.006369426751592357</v>
      </c>
      <c r="AO98" s="733">
        <f t="shared" si="92"/>
        <v>55</v>
      </c>
      <c r="AP98" s="737">
        <f t="shared" si="79"/>
        <v>0.014840798704803022</v>
      </c>
      <c r="AQ98" s="739">
        <v>16226.759999999998</v>
      </c>
      <c r="AR98" s="736">
        <f t="shared" si="80"/>
        <v>0.04338009017161093</v>
      </c>
      <c r="AS98" s="733">
        <v>19999.019999999997</v>
      </c>
      <c r="AT98" s="736">
        <f t="shared" si="81"/>
        <v>0.023407420356680083</v>
      </c>
      <c r="AU98" s="733">
        <v>2199.06</v>
      </c>
      <c r="AV98" s="736">
        <f t="shared" si="82"/>
        <v>0.02163772761058112</v>
      </c>
      <c r="AW98" s="733">
        <f t="shared" si="93"/>
        <v>38424.84</v>
      </c>
      <c r="AX98" s="737">
        <f t="shared" si="83"/>
        <v>0.028889142474506066</v>
      </c>
      <c r="AY98" s="739">
        <v>23692.62</v>
      </c>
      <c r="AZ98" s="736">
        <f t="shared" si="84"/>
        <v>0.03977341631342916</v>
      </c>
      <c r="BA98" s="733">
        <v>2855.7</v>
      </c>
      <c r="BB98" s="736">
        <f t="shared" si="85"/>
        <v>0.0037385039726432153</v>
      </c>
      <c r="BC98" s="733">
        <v>156.17999999999998</v>
      </c>
      <c r="BD98" s="736">
        <f t="shared" si="86"/>
        <v>0.005442543840391076</v>
      </c>
      <c r="BE98" s="733">
        <f t="shared" si="94"/>
        <v>26704.5</v>
      </c>
      <c r="BF98" s="735">
        <f t="shared" si="87"/>
        <v>0.019236120747559975</v>
      </c>
      <c r="BG98" s="718"/>
      <c r="BH98" s="123"/>
      <c r="BI98" s="123"/>
    </row>
    <row r="99" spans="1:61" ht="11.25" customHeight="1">
      <c r="A99" s="681">
        <v>18000</v>
      </c>
      <c r="B99" s="682" t="s">
        <v>126</v>
      </c>
      <c r="C99" s="731"/>
      <c r="D99" s="757"/>
      <c r="E99" s="738"/>
      <c r="F99" s="737"/>
      <c r="G99" s="739">
        <v>16053</v>
      </c>
      <c r="H99" s="737">
        <f t="shared" si="88"/>
        <v>0.003407938267404969</v>
      </c>
      <c r="I99" s="757"/>
      <c r="J99" s="757"/>
      <c r="K99" s="739">
        <v>43073</v>
      </c>
      <c r="L99" s="735">
        <f t="shared" si="89"/>
        <v>0.009337452113745155</v>
      </c>
      <c r="M99" s="635"/>
      <c r="N99" s="758">
        <v>32.084</v>
      </c>
      <c r="O99" s="759">
        <v>63.565999999999995</v>
      </c>
      <c r="P99" s="760">
        <f t="shared" si="71"/>
        <v>175.559</v>
      </c>
      <c r="Q99" s="761">
        <f t="shared" si="90"/>
        <v>0.01773103116794895</v>
      </c>
      <c r="R99" s="123"/>
      <c r="S99" s="123"/>
      <c r="T99" s="123"/>
      <c r="U99" s="123"/>
      <c r="V99" s="123"/>
      <c r="W99" s="123"/>
      <c r="X99" s="123"/>
      <c r="Y99" s="123"/>
      <c r="AA99" s="731">
        <v>78</v>
      </c>
      <c r="AB99" s="736">
        <f t="shared" si="72"/>
        <v>0.005390463026952315</v>
      </c>
      <c r="AC99" s="733">
        <v>17</v>
      </c>
      <c r="AD99" s="736">
        <f t="shared" si="73"/>
        <v>0.0017003400680136026</v>
      </c>
      <c r="AE99" s="733">
        <v>8</v>
      </c>
      <c r="AF99" s="736">
        <f t="shared" si="74"/>
        <v>0.002570694087403599</v>
      </c>
      <c r="AG99" s="733">
        <f t="shared" si="91"/>
        <v>103</v>
      </c>
      <c r="AH99" s="757">
        <f t="shared" si="75"/>
        <v>0.003734590282813633</v>
      </c>
      <c r="AI99" s="733">
        <v>18</v>
      </c>
      <c r="AJ99" s="736">
        <f t="shared" si="76"/>
        <v>0.06474820143884892</v>
      </c>
      <c r="AK99" s="733">
        <v>4</v>
      </c>
      <c r="AL99" s="736">
        <f t="shared" si="77"/>
        <v>0.0012228676245796392</v>
      </c>
      <c r="AM99" s="733"/>
      <c r="AN99" s="736">
        <f t="shared" si="78"/>
        <v>0</v>
      </c>
      <c r="AO99" s="733">
        <f t="shared" si="92"/>
        <v>22</v>
      </c>
      <c r="AP99" s="737">
        <f t="shared" si="79"/>
        <v>0.0059363194819212085</v>
      </c>
      <c r="AQ99" s="739">
        <v>18402.84</v>
      </c>
      <c r="AR99" s="736">
        <f t="shared" si="80"/>
        <v>0.04919755136661469</v>
      </c>
      <c r="AS99" s="733">
        <v>11350.56</v>
      </c>
      <c r="AT99" s="736">
        <f t="shared" si="81"/>
        <v>0.01328501742603981</v>
      </c>
      <c r="AU99" s="733">
        <v>0</v>
      </c>
      <c r="AV99" s="736">
        <f t="shared" si="82"/>
        <v>0</v>
      </c>
      <c r="AW99" s="733">
        <f t="shared" si="93"/>
        <v>29753.4</v>
      </c>
      <c r="AX99" s="737">
        <f t="shared" si="83"/>
        <v>0.022369649729210815</v>
      </c>
      <c r="AY99" s="739">
        <v>4423.74</v>
      </c>
      <c r="AZ99" s="736">
        <f t="shared" si="84"/>
        <v>0.007426247189309123</v>
      </c>
      <c r="BA99" s="733">
        <v>7348.08</v>
      </c>
      <c r="BB99" s="736">
        <f t="shared" si="85"/>
        <v>0.009619647116749014</v>
      </c>
      <c r="BC99" s="733">
        <v>0</v>
      </c>
      <c r="BD99" s="736">
        <f t="shared" si="86"/>
        <v>0</v>
      </c>
      <c r="BE99" s="733">
        <f t="shared" si="94"/>
        <v>11771.82</v>
      </c>
      <c r="BF99" s="735">
        <f t="shared" si="87"/>
        <v>0.00847962519195422</v>
      </c>
      <c r="BG99" s="718"/>
      <c r="BH99" s="123"/>
      <c r="BI99" s="123"/>
    </row>
    <row r="100" spans="1:61" ht="11.25" customHeight="1">
      <c r="A100" s="681">
        <v>19000</v>
      </c>
      <c r="B100" s="682" t="s">
        <v>127</v>
      </c>
      <c r="C100" s="731"/>
      <c r="D100" s="757"/>
      <c r="E100" s="738"/>
      <c r="F100" s="737"/>
      <c r="G100" s="739">
        <v>15850.3</v>
      </c>
      <c r="H100" s="737">
        <f t="shared" si="88"/>
        <v>0.0033649064922350327</v>
      </c>
      <c r="I100" s="757"/>
      <c r="J100" s="757"/>
      <c r="K100" s="739">
        <v>48918</v>
      </c>
      <c r="L100" s="735">
        <f t="shared" si="89"/>
        <v>0.010604543043210027</v>
      </c>
      <c r="M100" s="635"/>
      <c r="N100" s="758">
        <v>16.086</v>
      </c>
      <c r="O100" s="759">
        <v>44.069</v>
      </c>
      <c r="P100" s="760">
        <f t="shared" si="71"/>
        <v>106.3185</v>
      </c>
      <c r="Q100" s="761">
        <f t="shared" si="90"/>
        <v>0.010737909404983969</v>
      </c>
      <c r="R100" s="123"/>
      <c r="S100" s="123"/>
      <c r="T100" s="123"/>
      <c r="U100" s="123"/>
      <c r="V100" s="123"/>
      <c r="W100" s="123"/>
      <c r="X100" s="123"/>
      <c r="Y100" s="123"/>
      <c r="AA100" s="731">
        <v>376</v>
      </c>
      <c r="AB100" s="736">
        <f t="shared" si="72"/>
        <v>0.025984796129923982</v>
      </c>
      <c r="AC100" s="733">
        <v>128</v>
      </c>
      <c r="AD100" s="736">
        <f t="shared" si="73"/>
        <v>0.01280256051210242</v>
      </c>
      <c r="AE100" s="733">
        <v>26</v>
      </c>
      <c r="AF100" s="736">
        <f t="shared" si="74"/>
        <v>0.008354755784061696</v>
      </c>
      <c r="AG100" s="733">
        <f t="shared" si="91"/>
        <v>530</v>
      </c>
      <c r="AH100" s="757">
        <f t="shared" si="75"/>
        <v>0.019216823785351705</v>
      </c>
      <c r="AI100" s="733"/>
      <c r="AJ100" s="736">
        <f t="shared" si="76"/>
        <v>0</v>
      </c>
      <c r="AK100" s="733">
        <v>0</v>
      </c>
      <c r="AL100" s="736">
        <f t="shared" si="77"/>
        <v>0</v>
      </c>
      <c r="AM100" s="733"/>
      <c r="AN100" s="736">
        <f t="shared" si="78"/>
        <v>0</v>
      </c>
      <c r="AO100" s="733">
        <f t="shared" si="92"/>
        <v>0</v>
      </c>
      <c r="AP100" s="737">
        <f t="shared" si="79"/>
        <v>0</v>
      </c>
      <c r="AQ100" s="739">
        <v>8764.86</v>
      </c>
      <c r="AR100" s="736">
        <f t="shared" si="80"/>
        <v>0.023431690438605476</v>
      </c>
      <c r="AS100" s="733">
        <v>7132.86</v>
      </c>
      <c r="AT100" s="736">
        <f t="shared" si="81"/>
        <v>0.008348501694850503</v>
      </c>
      <c r="AU100" s="733">
        <v>484.5</v>
      </c>
      <c r="AV100" s="736">
        <f t="shared" si="82"/>
        <v>0.004767254657593041</v>
      </c>
      <c r="AW100" s="733">
        <f t="shared" si="93"/>
        <v>16382.220000000001</v>
      </c>
      <c r="AX100" s="737">
        <f t="shared" si="83"/>
        <v>0.01231672760715992</v>
      </c>
      <c r="AY100" s="739">
        <v>4412.52</v>
      </c>
      <c r="AZ100" s="736">
        <f t="shared" si="84"/>
        <v>0.007407411884009976</v>
      </c>
      <c r="BA100" s="733">
        <v>602.82</v>
      </c>
      <c r="BB100" s="736">
        <f t="shared" si="85"/>
        <v>0.000789174270682769</v>
      </c>
      <c r="BC100" s="733">
        <v>0</v>
      </c>
      <c r="BD100" s="736">
        <f t="shared" si="86"/>
        <v>0</v>
      </c>
      <c r="BE100" s="733">
        <f t="shared" si="94"/>
        <v>5015.34</v>
      </c>
      <c r="BF100" s="735">
        <f t="shared" si="87"/>
        <v>0.0036127126825092194</v>
      </c>
      <c r="BG100" s="718"/>
      <c r="BH100" s="123"/>
      <c r="BI100" s="123"/>
    </row>
    <row r="101" spans="1:61" ht="11.25" customHeight="1">
      <c r="A101" s="681">
        <v>21000</v>
      </c>
      <c r="B101" s="682" t="s">
        <v>128</v>
      </c>
      <c r="C101" s="731"/>
      <c r="D101" s="757"/>
      <c r="E101" s="738"/>
      <c r="F101" s="737"/>
      <c r="G101" s="739">
        <v>700925</v>
      </c>
      <c r="H101" s="737">
        <f t="shared" si="88"/>
        <v>0.14880141593975132</v>
      </c>
      <c r="I101" s="757"/>
      <c r="J101" s="757"/>
      <c r="K101" s="739">
        <v>555280.85</v>
      </c>
      <c r="L101" s="735">
        <f t="shared" si="89"/>
        <v>0.12037490647400241</v>
      </c>
      <c r="M101" s="635"/>
      <c r="N101" s="758">
        <v>191.35399999999998</v>
      </c>
      <c r="O101" s="759">
        <v>309.241</v>
      </c>
      <c r="P101" s="760">
        <f t="shared" si="71"/>
        <v>942.2465</v>
      </c>
      <c r="Q101" s="761">
        <f t="shared" si="90"/>
        <v>0.09516460027336</v>
      </c>
      <c r="R101" s="123"/>
      <c r="S101" s="123"/>
      <c r="T101" s="123"/>
      <c r="U101" s="123"/>
      <c r="V101" s="123"/>
      <c r="W101" s="123"/>
      <c r="X101" s="123"/>
      <c r="Y101" s="123"/>
      <c r="AA101" s="731">
        <v>1399</v>
      </c>
      <c r="AB101" s="736">
        <f t="shared" si="72"/>
        <v>0.09668279198341397</v>
      </c>
      <c r="AC101" s="733">
        <v>509</v>
      </c>
      <c r="AD101" s="736">
        <f t="shared" si="73"/>
        <v>0.05091018203640728</v>
      </c>
      <c r="AE101" s="733">
        <v>217</v>
      </c>
      <c r="AF101" s="736">
        <f t="shared" si="74"/>
        <v>0.06973007712082262</v>
      </c>
      <c r="AG101" s="733">
        <f t="shared" si="91"/>
        <v>2125</v>
      </c>
      <c r="AH101" s="757">
        <f t="shared" si="75"/>
        <v>0.07704858593183467</v>
      </c>
      <c r="AI101" s="733">
        <v>47</v>
      </c>
      <c r="AJ101" s="736">
        <f t="shared" si="76"/>
        <v>0.16906474820143885</v>
      </c>
      <c r="AK101" s="733">
        <v>69</v>
      </c>
      <c r="AL101" s="736">
        <f t="shared" si="77"/>
        <v>0.021094466523998778</v>
      </c>
      <c r="AM101" s="733">
        <v>8</v>
      </c>
      <c r="AN101" s="736">
        <f t="shared" si="78"/>
        <v>0.050955414012738856</v>
      </c>
      <c r="AO101" s="733">
        <f t="shared" si="92"/>
        <v>124</v>
      </c>
      <c r="AP101" s="737">
        <f t="shared" si="79"/>
        <v>0.03345925526173772</v>
      </c>
      <c r="AQ101" s="739">
        <v>10542.72</v>
      </c>
      <c r="AR101" s="736">
        <f t="shared" si="80"/>
        <v>0.02818456329261331</v>
      </c>
      <c r="AS101" s="733">
        <v>63655.14</v>
      </c>
      <c r="AT101" s="736">
        <f t="shared" si="81"/>
        <v>0.07450378167746824</v>
      </c>
      <c r="AU101" s="733">
        <v>5245.86</v>
      </c>
      <c r="AV101" s="736">
        <f t="shared" si="82"/>
        <v>0.05161682253473896</v>
      </c>
      <c r="AW101" s="733">
        <f t="shared" si="93"/>
        <v>79443.72</v>
      </c>
      <c r="AX101" s="737">
        <f t="shared" si="83"/>
        <v>0.05972857520772415</v>
      </c>
      <c r="AY101" s="739">
        <v>59085.54</v>
      </c>
      <c r="AZ101" s="736">
        <f t="shared" si="84"/>
        <v>0.09918843000578961</v>
      </c>
      <c r="BA101" s="733">
        <v>94753.92</v>
      </c>
      <c r="BB101" s="736">
        <f t="shared" si="85"/>
        <v>0.12404591040498562</v>
      </c>
      <c r="BC101" s="733">
        <v>3205.86</v>
      </c>
      <c r="BD101" s="736">
        <f t="shared" si="86"/>
        <v>0.11171746443946817</v>
      </c>
      <c r="BE101" s="733">
        <f t="shared" si="94"/>
        <v>157045.31999999998</v>
      </c>
      <c r="BF101" s="735">
        <f t="shared" si="87"/>
        <v>0.11312485679788781</v>
      </c>
      <c r="BG101" s="718"/>
      <c r="BH101" s="123"/>
      <c r="BI101" s="123"/>
    </row>
    <row r="102" spans="1:61" ht="11.25" customHeight="1">
      <c r="A102" s="681">
        <v>22000</v>
      </c>
      <c r="B102" s="682" t="s">
        <v>46</v>
      </c>
      <c r="C102" s="731"/>
      <c r="D102" s="757"/>
      <c r="E102" s="738"/>
      <c r="F102" s="737"/>
      <c r="G102" s="739">
        <v>215200.12977</v>
      </c>
      <c r="H102" s="737">
        <f t="shared" si="88"/>
        <v>0.045685464236821675</v>
      </c>
      <c r="I102" s="757"/>
      <c r="J102" s="757"/>
      <c r="K102" s="739">
        <v>124193</v>
      </c>
      <c r="L102" s="735">
        <f t="shared" si="89"/>
        <v>0.026922809889312376</v>
      </c>
      <c r="M102" s="635"/>
      <c r="N102" s="758">
        <v>65.005</v>
      </c>
      <c r="O102" s="759">
        <v>102.204</v>
      </c>
      <c r="P102" s="760">
        <f t="shared" si="71"/>
        <v>315.8185</v>
      </c>
      <c r="Q102" s="761">
        <f t="shared" si="90"/>
        <v>0.031896898859727414</v>
      </c>
      <c r="R102" s="123"/>
      <c r="S102" s="123"/>
      <c r="T102" s="123"/>
      <c r="U102" s="123"/>
      <c r="V102" s="123"/>
      <c r="W102" s="123"/>
      <c r="X102" s="123"/>
      <c r="Y102" s="123"/>
      <c r="AA102" s="731">
        <v>259</v>
      </c>
      <c r="AB102" s="736">
        <f t="shared" si="72"/>
        <v>0.01789910158949551</v>
      </c>
      <c r="AC102" s="733">
        <v>73</v>
      </c>
      <c r="AD102" s="736">
        <f t="shared" si="73"/>
        <v>0.007301460292058411</v>
      </c>
      <c r="AE102" s="733">
        <v>65</v>
      </c>
      <c r="AF102" s="736">
        <f t="shared" si="74"/>
        <v>0.020886889460154243</v>
      </c>
      <c r="AG102" s="733">
        <f t="shared" si="91"/>
        <v>397</v>
      </c>
      <c r="AH102" s="757">
        <f t="shared" si="75"/>
        <v>0.014394488759970993</v>
      </c>
      <c r="AI102" s="733">
        <v>7</v>
      </c>
      <c r="AJ102" s="736">
        <f t="shared" si="76"/>
        <v>0.025179856115107913</v>
      </c>
      <c r="AK102" s="733">
        <v>27</v>
      </c>
      <c r="AL102" s="736">
        <f t="shared" si="77"/>
        <v>0.008254356465912565</v>
      </c>
      <c r="AM102" s="733">
        <v>7</v>
      </c>
      <c r="AN102" s="736">
        <f t="shared" si="78"/>
        <v>0.044585987261146494</v>
      </c>
      <c r="AO102" s="733">
        <f t="shared" si="92"/>
        <v>41</v>
      </c>
      <c r="AP102" s="737">
        <f t="shared" si="79"/>
        <v>0.011063140852671344</v>
      </c>
      <c r="AQ102" s="739">
        <v>346.8</v>
      </c>
      <c r="AR102" s="736">
        <f t="shared" si="80"/>
        <v>0.0009271237925201748</v>
      </c>
      <c r="AS102" s="733">
        <v>7916.22</v>
      </c>
      <c r="AT102" s="736">
        <f t="shared" si="81"/>
        <v>0.009265368461852533</v>
      </c>
      <c r="AU102" s="733">
        <v>2731.56</v>
      </c>
      <c r="AV102" s="736">
        <f t="shared" si="82"/>
        <v>0.026877279943229818</v>
      </c>
      <c r="AW102" s="733">
        <f t="shared" si="93"/>
        <v>10994.58</v>
      </c>
      <c r="AX102" s="737">
        <f t="shared" si="83"/>
        <v>0.008266110882110503</v>
      </c>
      <c r="AY102" s="739">
        <v>4824.6</v>
      </c>
      <c r="AZ102" s="736">
        <f t="shared" si="84"/>
        <v>0.008099181278633192</v>
      </c>
      <c r="BA102" s="733">
        <v>16973.82</v>
      </c>
      <c r="BB102" s="736">
        <f t="shared" si="85"/>
        <v>0.022221064362829033</v>
      </c>
      <c r="BC102" s="733">
        <v>381.48</v>
      </c>
      <c r="BD102" s="736">
        <f t="shared" si="86"/>
        <v>0.013293774005841901</v>
      </c>
      <c r="BE102" s="733">
        <f t="shared" si="94"/>
        <v>22179.899999999998</v>
      </c>
      <c r="BF102" s="735">
        <f t="shared" si="87"/>
        <v>0.015976904063689845</v>
      </c>
      <c r="BG102" s="718"/>
      <c r="BH102" s="123"/>
      <c r="BI102" s="123"/>
    </row>
    <row r="103" spans="1:61" ht="11.25" customHeight="1">
      <c r="A103" s="681">
        <v>23000</v>
      </c>
      <c r="B103" s="682" t="s">
        <v>129</v>
      </c>
      <c r="C103" s="731"/>
      <c r="D103" s="757"/>
      <c r="E103" s="738"/>
      <c r="F103" s="737"/>
      <c r="G103" s="739">
        <v>206947</v>
      </c>
      <c r="H103" s="737">
        <f t="shared" si="88"/>
        <v>0.04393338320716727</v>
      </c>
      <c r="I103" s="757"/>
      <c r="J103" s="757"/>
      <c r="K103" s="739">
        <v>123783.69999999998</v>
      </c>
      <c r="L103" s="735">
        <f t="shared" si="89"/>
        <v>0.026834081006946252</v>
      </c>
      <c r="M103" s="635"/>
      <c r="N103" s="758">
        <v>60.702000000000005</v>
      </c>
      <c r="O103" s="759">
        <v>120.19</v>
      </c>
      <c r="P103" s="760">
        <f t="shared" si="71"/>
        <v>332.04</v>
      </c>
      <c r="Q103" s="761">
        <f t="shared" si="90"/>
        <v>0.03353523082841534</v>
      </c>
      <c r="R103" s="123"/>
      <c r="S103" s="123"/>
      <c r="T103" s="123"/>
      <c r="U103" s="123"/>
      <c r="V103" s="123"/>
      <c r="W103" s="123"/>
      <c r="X103" s="123"/>
      <c r="Y103" s="123"/>
      <c r="AA103" s="731">
        <v>257</v>
      </c>
      <c r="AB103" s="736">
        <f t="shared" si="72"/>
        <v>0.017760884588804423</v>
      </c>
      <c r="AC103" s="733">
        <v>87</v>
      </c>
      <c r="AD103" s="736">
        <f t="shared" si="73"/>
        <v>0.008701740348069614</v>
      </c>
      <c r="AE103" s="733">
        <v>26</v>
      </c>
      <c r="AF103" s="736">
        <f t="shared" si="74"/>
        <v>0.008354755784061696</v>
      </c>
      <c r="AG103" s="733">
        <f t="shared" si="91"/>
        <v>370</v>
      </c>
      <c r="AH103" s="757">
        <f t="shared" si="75"/>
        <v>0.013415518491660623</v>
      </c>
      <c r="AI103" s="733"/>
      <c r="AJ103" s="736">
        <f t="shared" si="76"/>
        <v>0</v>
      </c>
      <c r="AK103" s="733">
        <v>0</v>
      </c>
      <c r="AL103" s="736">
        <f t="shared" si="77"/>
        <v>0</v>
      </c>
      <c r="AM103" s="733"/>
      <c r="AN103" s="736">
        <f t="shared" si="78"/>
        <v>0</v>
      </c>
      <c r="AO103" s="733">
        <f t="shared" si="92"/>
        <v>0</v>
      </c>
      <c r="AP103" s="737">
        <f t="shared" si="79"/>
        <v>0</v>
      </c>
      <c r="AQ103" s="739">
        <v>18876.12</v>
      </c>
      <c r="AR103" s="736">
        <f t="shared" si="80"/>
        <v>0.050462802659936336</v>
      </c>
      <c r="AS103" s="733">
        <v>35439.18</v>
      </c>
      <c r="AT103" s="736">
        <f t="shared" si="81"/>
        <v>0.04147902163986284</v>
      </c>
      <c r="AU103" s="733">
        <v>4602.179999999999</v>
      </c>
      <c r="AV103" s="736">
        <f t="shared" si="82"/>
        <v>0.0452833107122426</v>
      </c>
      <c r="AW103" s="733">
        <f t="shared" si="93"/>
        <v>58917.48</v>
      </c>
      <c r="AX103" s="737">
        <f t="shared" si="83"/>
        <v>0.044296228011850194</v>
      </c>
      <c r="AY103" s="739">
        <v>25977.179999999997</v>
      </c>
      <c r="AZ103" s="736">
        <f t="shared" si="84"/>
        <v>0.043608566498297176</v>
      </c>
      <c r="BA103" s="733">
        <v>4833.599999999999</v>
      </c>
      <c r="BB103" s="736">
        <f t="shared" si="85"/>
        <v>0.006327847043515861</v>
      </c>
      <c r="BC103" s="733">
        <v>0</v>
      </c>
      <c r="BD103" s="736">
        <f t="shared" si="86"/>
        <v>0</v>
      </c>
      <c r="BE103" s="733">
        <f t="shared" si="94"/>
        <v>30810.779999999995</v>
      </c>
      <c r="BF103" s="735">
        <f t="shared" si="87"/>
        <v>0.022194007916512416</v>
      </c>
      <c r="BG103" s="718"/>
      <c r="BH103" s="123"/>
      <c r="BI103" s="123"/>
    </row>
    <row r="104" spans="1:61" ht="11.25" customHeight="1">
      <c r="A104" s="681">
        <v>24000</v>
      </c>
      <c r="B104" s="682" t="s">
        <v>130</v>
      </c>
      <c r="C104" s="731"/>
      <c r="D104" s="757"/>
      <c r="E104" s="738"/>
      <c r="F104" s="737"/>
      <c r="G104" s="739">
        <v>155490</v>
      </c>
      <c r="H104" s="737">
        <f t="shared" si="88"/>
        <v>0.03300942635014008</v>
      </c>
      <c r="I104" s="757"/>
      <c r="J104" s="757"/>
      <c r="K104" s="739">
        <v>157712</v>
      </c>
      <c r="L104" s="735">
        <f t="shared" si="89"/>
        <v>0.034189126547093905</v>
      </c>
      <c r="M104" s="635"/>
      <c r="N104" s="758">
        <v>48.301</v>
      </c>
      <c r="O104" s="759">
        <v>94.16</v>
      </c>
      <c r="P104" s="760">
        <f t="shared" si="71"/>
        <v>261.9925</v>
      </c>
      <c r="Q104" s="761">
        <f t="shared" si="90"/>
        <v>0.026460604032085312</v>
      </c>
      <c r="R104" s="123"/>
      <c r="S104" s="123"/>
      <c r="T104" s="123"/>
      <c r="U104" s="123"/>
      <c r="V104" s="123"/>
      <c r="W104" s="123"/>
      <c r="X104" s="123"/>
      <c r="Y104" s="123"/>
      <c r="AA104" s="731">
        <v>301</v>
      </c>
      <c r="AB104" s="736">
        <f t="shared" si="72"/>
        <v>0.020801658604008292</v>
      </c>
      <c r="AC104" s="733">
        <v>124</v>
      </c>
      <c r="AD104" s="736">
        <f t="shared" si="73"/>
        <v>0.01240248049609922</v>
      </c>
      <c r="AE104" s="733">
        <v>42</v>
      </c>
      <c r="AF104" s="736">
        <f t="shared" si="74"/>
        <v>0.013496143958868894</v>
      </c>
      <c r="AG104" s="733">
        <f t="shared" si="91"/>
        <v>467</v>
      </c>
      <c r="AH104" s="757">
        <f t="shared" si="75"/>
        <v>0.01693255982596084</v>
      </c>
      <c r="AI104" s="733">
        <v>3</v>
      </c>
      <c r="AJ104" s="736">
        <f t="shared" si="76"/>
        <v>0.01079136690647482</v>
      </c>
      <c r="AK104" s="733">
        <v>1</v>
      </c>
      <c r="AL104" s="736">
        <f t="shared" si="77"/>
        <v>0.0003057169061449098</v>
      </c>
      <c r="AM104" s="733">
        <v>1</v>
      </c>
      <c r="AN104" s="736">
        <f t="shared" si="78"/>
        <v>0.006369426751592357</v>
      </c>
      <c r="AO104" s="733">
        <f t="shared" si="92"/>
        <v>5</v>
      </c>
      <c r="AP104" s="737">
        <f t="shared" si="79"/>
        <v>0.0013491635186184566</v>
      </c>
      <c r="AQ104" s="739">
        <v>15380.88</v>
      </c>
      <c r="AR104" s="736">
        <f t="shared" si="80"/>
        <v>0.04111874220847089</v>
      </c>
      <c r="AS104" s="733">
        <v>13502.159999999998</v>
      </c>
      <c r="AT104" s="736">
        <f t="shared" si="81"/>
        <v>0.015803311104401693</v>
      </c>
      <c r="AU104" s="733">
        <v>6287.099999999999</v>
      </c>
      <c r="AV104" s="736">
        <f t="shared" si="82"/>
        <v>0.061862139850883804</v>
      </c>
      <c r="AW104" s="733">
        <f t="shared" si="93"/>
        <v>35170.14</v>
      </c>
      <c r="AX104" s="737">
        <f t="shared" si="83"/>
        <v>0.026442144854951246</v>
      </c>
      <c r="AY104" s="739">
        <v>13128.24</v>
      </c>
      <c r="AZ104" s="736">
        <f t="shared" si="84"/>
        <v>0.022038717329810432</v>
      </c>
      <c r="BA104" s="733">
        <v>5433.24</v>
      </c>
      <c r="BB104" s="736">
        <f t="shared" si="85"/>
        <v>0.007112858256933159</v>
      </c>
      <c r="BC104" s="733">
        <v>1236.8999999999999</v>
      </c>
      <c r="BD104" s="736">
        <f t="shared" si="86"/>
        <v>0.04310335815200232</v>
      </c>
      <c r="BE104" s="733">
        <f t="shared" si="94"/>
        <v>19798.38</v>
      </c>
      <c r="BF104" s="735">
        <f t="shared" si="87"/>
        <v>0.01426141767440231</v>
      </c>
      <c r="BG104" s="718"/>
      <c r="BH104" s="123"/>
      <c r="BI104" s="123"/>
    </row>
    <row r="105" spans="1:61" ht="11.25" customHeight="1">
      <c r="A105" s="681">
        <v>25000</v>
      </c>
      <c r="B105" s="682" t="s">
        <v>131</v>
      </c>
      <c r="C105" s="731"/>
      <c r="D105" s="757"/>
      <c r="E105" s="738"/>
      <c r="F105" s="737"/>
      <c r="G105" s="739">
        <v>91923</v>
      </c>
      <c r="H105" s="737">
        <f t="shared" si="88"/>
        <v>0.019514602214830062</v>
      </c>
      <c r="I105" s="757"/>
      <c r="J105" s="757"/>
      <c r="K105" s="739">
        <v>71697</v>
      </c>
      <c r="L105" s="735">
        <f t="shared" si="89"/>
        <v>0.015542620764729329</v>
      </c>
      <c r="M105" s="635"/>
      <c r="N105" s="758">
        <v>51.063</v>
      </c>
      <c r="O105" s="759">
        <v>94.693</v>
      </c>
      <c r="P105" s="760">
        <f t="shared" si="71"/>
        <v>269.697</v>
      </c>
      <c r="Q105" s="761">
        <f t="shared" si="90"/>
        <v>0.02723873975644842</v>
      </c>
      <c r="R105" s="123"/>
      <c r="S105" s="123"/>
      <c r="T105" s="123"/>
      <c r="U105" s="123"/>
      <c r="V105" s="123"/>
      <c r="W105" s="123"/>
      <c r="X105" s="123"/>
      <c r="Y105" s="123"/>
      <c r="AA105" s="731">
        <v>140</v>
      </c>
      <c r="AB105" s="736">
        <f t="shared" si="72"/>
        <v>0.009675190048375951</v>
      </c>
      <c r="AC105" s="733">
        <v>39</v>
      </c>
      <c r="AD105" s="736">
        <f t="shared" si="73"/>
        <v>0.003900780156031206</v>
      </c>
      <c r="AE105" s="733">
        <v>40</v>
      </c>
      <c r="AF105" s="736">
        <f t="shared" si="74"/>
        <v>0.012853470437017995</v>
      </c>
      <c r="AG105" s="733">
        <f t="shared" si="91"/>
        <v>219</v>
      </c>
      <c r="AH105" s="757">
        <f t="shared" si="75"/>
        <v>0.007940536620739666</v>
      </c>
      <c r="AI105" s="733">
        <v>1</v>
      </c>
      <c r="AJ105" s="736">
        <f t="shared" si="76"/>
        <v>0.0035971223021582736</v>
      </c>
      <c r="AK105" s="733">
        <v>0</v>
      </c>
      <c r="AL105" s="736">
        <f t="shared" si="77"/>
        <v>0</v>
      </c>
      <c r="AM105" s="733"/>
      <c r="AN105" s="736">
        <f t="shared" si="78"/>
        <v>0</v>
      </c>
      <c r="AO105" s="733">
        <f t="shared" si="92"/>
        <v>1</v>
      </c>
      <c r="AP105" s="737">
        <f t="shared" si="79"/>
        <v>0.0002698327037236913</v>
      </c>
      <c r="AQ105" s="739">
        <v>13046.82</v>
      </c>
      <c r="AR105" s="736">
        <f t="shared" si="80"/>
        <v>0.034878942441545754</v>
      </c>
      <c r="AS105" s="733">
        <v>10131.66</v>
      </c>
      <c r="AT105" s="736">
        <f t="shared" si="81"/>
        <v>0.011858382287280145</v>
      </c>
      <c r="AU105" s="733">
        <v>2087.94</v>
      </c>
      <c r="AV105" s="736">
        <f t="shared" si="82"/>
        <v>0.020544358492827274</v>
      </c>
      <c r="AW105" s="733">
        <f t="shared" si="93"/>
        <v>25266.42</v>
      </c>
      <c r="AX105" s="737">
        <f t="shared" si="83"/>
        <v>0.018996180783074426</v>
      </c>
      <c r="AY105" s="739">
        <v>19494.24</v>
      </c>
      <c r="AZ105" s="736">
        <f t="shared" si="84"/>
        <v>0.03272548680702697</v>
      </c>
      <c r="BA105" s="733">
        <v>5050.02</v>
      </c>
      <c r="BB105" s="736">
        <f t="shared" si="85"/>
        <v>0.006611170582318764</v>
      </c>
      <c r="BC105" s="733">
        <v>724.2</v>
      </c>
      <c r="BD105" s="736">
        <f t="shared" si="86"/>
        <v>0.025236843700929813</v>
      </c>
      <c r="BE105" s="733">
        <f t="shared" si="94"/>
        <v>25268.460000000003</v>
      </c>
      <c r="BF105" s="735">
        <f t="shared" si="87"/>
        <v>0.01820169438352672</v>
      </c>
      <c r="BG105" s="718"/>
      <c r="BH105" s="123"/>
      <c r="BI105" s="123"/>
    </row>
    <row r="106" spans="1:61" ht="11.25" customHeight="1">
      <c r="A106" s="681">
        <v>26000</v>
      </c>
      <c r="B106" s="682" t="s">
        <v>132</v>
      </c>
      <c r="C106" s="731"/>
      <c r="D106" s="757"/>
      <c r="E106" s="738"/>
      <c r="F106" s="737"/>
      <c r="G106" s="739">
        <v>416172</v>
      </c>
      <c r="H106" s="737">
        <f t="shared" si="88"/>
        <v>0.08835036968930797</v>
      </c>
      <c r="I106" s="757"/>
      <c r="J106" s="757"/>
      <c r="K106" s="739">
        <v>272188</v>
      </c>
      <c r="L106" s="735">
        <f t="shared" si="89"/>
        <v>0.05900546551055339</v>
      </c>
      <c r="M106" s="635"/>
      <c r="N106" s="758">
        <v>108.885</v>
      </c>
      <c r="O106" s="759">
        <v>218.85199999999995</v>
      </c>
      <c r="P106" s="760">
        <f t="shared" si="71"/>
        <v>600.4904999999999</v>
      </c>
      <c r="Q106" s="761">
        <f t="shared" si="90"/>
        <v>0.0606480771225471</v>
      </c>
      <c r="R106" s="123"/>
      <c r="S106" s="123"/>
      <c r="T106" s="123"/>
      <c r="U106" s="123"/>
      <c r="V106" s="123"/>
      <c r="W106" s="123"/>
      <c r="X106" s="123"/>
      <c r="Y106" s="123"/>
      <c r="AA106" s="731">
        <v>1808</v>
      </c>
      <c r="AB106" s="736">
        <f t="shared" si="72"/>
        <v>0.12494816862474084</v>
      </c>
      <c r="AC106" s="733">
        <v>680</v>
      </c>
      <c r="AD106" s="736">
        <f t="shared" si="73"/>
        <v>0.0680136027205441</v>
      </c>
      <c r="AE106" s="733">
        <v>208</v>
      </c>
      <c r="AF106" s="736">
        <f t="shared" si="74"/>
        <v>0.06683804627249357</v>
      </c>
      <c r="AG106" s="733">
        <f t="shared" si="91"/>
        <v>2696</v>
      </c>
      <c r="AH106" s="757">
        <f t="shared" si="75"/>
        <v>0.09775199419869471</v>
      </c>
      <c r="AI106" s="733">
        <v>4</v>
      </c>
      <c r="AJ106" s="736">
        <f t="shared" si="76"/>
        <v>0.014388489208633094</v>
      </c>
      <c r="AK106" s="733">
        <v>10</v>
      </c>
      <c r="AL106" s="736">
        <f t="shared" si="77"/>
        <v>0.003057169061449098</v>
      </c>
      <c r="AM106" s="733">
        <v>4</v>
      </c>
      <c r="AN106" s="736">
        <f t="shared" si="78"/>
        <v>0.025477707006369428</v>
      </c>
      <c r="AO106" s="733">
        <f t="shared" si="92"/>
        <v>18</v>
      </c>
      <c r="AP106" s="737">
        <f t="shared" si="79"/>
        <v>0.004856988667026443</v>
      </c>
      <c r="AQ106" s="739">
        <v>24258.059999999998</v>
      </c>
      <c r="AR106" s="736">
        <f t="shared" si="80"/>
        <v>0.06485070526638394</v>
      </c>
      <c r="AS106" s="733">
        <v>66940.79999999999</v>
      </c>
      <c r="AT106" s="736">
        <f t="shared" si="81"/>
        <v>0.07834941135177874</v>
      </c>
      <c r="AU106" s="733">
        <v>13856.699999999999</v>
      </c>
      <c r="AV106" s="736">
        <f t="shared" si="82"/>
        <v>0.13634348320716097</v>
      </c>
      <c r="AW106" s="733">
        <f t="shared" si="93"/>
        <v>105055.55999999998</v>
      </c>
      <c r="AX106" s="737">
        <f t="shared" si="83"/>
        <v>0.07898445486250613</v>
      </c>
      <c r="AY106" s="739">
        <v>36558.659999999996</v>
      </c>
      <c r="AZ106" s="736">
        <f t="shared" si="84"/>
        <v>0.061371971695874494</v>
      </c>
      <c r="BA106" s="733">
        <v>51702.42</v>
      </c>
      <c r="BB106" s="736">
        <f t="shared" si="85"/>
        <v>0.06768557711428652</v>
      </c>
      <c r="BC106" s="733">
        <v>1249.4399999999998</v>
      </c>
      <c r="BD106" s="736">
        <f t="shared" si="86"/>
        <v>0.04354035072312861</v>
      </c>
      <c r="BE106" s="733">
        <f t="shared" si="94"/>
        <v>89510.51999999999</v>
      </c>
      <c r="BF106" s="735">
        <f t="shared" si="87"/>
        <v>0.0644773416801244</v>
      </c>
      <c r="BG106" s="718"/>
      <c r="BH106" s="123"/>
      <c r="BI106" s="123"/>
    </row>
    <row r="107" spans="1:61" ht="11.25" customHeight="1">
      <c r="A107" s="681">
        <v>27000</v>
      </c>
      <c r="B107" s="682" t="s">
        <v>133</v>
      </c>
      <c r="C107" s="731"/>
      <c r="D107" s="757"/>
      <c r="E107" s="738"/>
      <c r="F107" s="737"/>
      <c r="G107" s="739">
        <v>181634</v>
      </c>
      <c r="H107" s="737">
        <f t="shared" si="88"/>
        <v>0.03855961248749979</v>
      </c>
      <c r="I107" s="757"/>
      <c r="J107" s="757"/>
      <c r="K107" s="739">
        <v>216490.40000000002</v>
      </c>
      <c r="L107" s="735">
        <f t="shared" si="89"/>
        <v>0.04693122705837843</v>
      </c>
      <c r="M107" s="635"/>
      <c r="N107" s="758">
        <v>104.594</v>
      </c>
      <c r="O107" s="759">
        <v>180.105</v>
      </c>
      <c r="P107" s="760">
        <f t="shared" si="71"/>
        <v>531.6424999999999</v>
      </c>
      <c r="Q107" s="761">
        <f t="shared" si="90"/>
        <v>0.05369459690307132</v>
      </c>
      <c r="R107" s="123"/>
      <c r="S107" s="123"/>
      <c r="T107" s="123"/>
      <c r="U107" s="123"/>
      <c r="V107" s="123"/>
      <c r="W107" s="123"/>
      <c r="X107" s="123"/>
      <c r="Y107" s="123"/>
      <c r="AA107" s="731">
        <v>698</v>
      </c>
      <c r="AB107" s="736">
        <f t="shared" si="72"/>
        <v>0.048237733241188664</v>
      </c>
      <c r="AC107" s="733">
        <v>353</v>
      </c>
      <c r="AD107" s="736">
        <f t="shared" si="73"/>
        <v>0.03530706141228246</v>
      </c>
      <c r="AE107" s="733">
        <v>127</v>
      </c>
      <c r="AF107" s="736">
        <f t="shared" si="74"/>
        <v>0.040809768637532134</v>
      </c>
      <c r="AG107" s="733">
        <f t="shared" si="91"/>
        <v>1178</v>
      </c>
      <c r="AH107" s="757">
        <f t="shared" si="75"/>
        <v>0.04271211022480058</v>
      </c>
      <c r="AI107" s="733">
        <v>17</v>
      </c>
      <c r="AJ107" s="736">
        <f t="shared" si="76"/>
        <v>0.06115107913669065</v>
      </c>
      <c r="AK107" s="733">
        <v>1</v>
      </c>
      <c r="AL107" s="736">
        <f t="shared" si="77"/>
        <v>0.0003057169061449098</v>
      </c>
      <c r="AM107" s="733">
        <v>17</v>
      </c>
      <c r="AN107" s="736">
        <f t="shared" si="78"/>
        <v>0.10828025477707007</v>
      </c>
      <c r="AO107" s="733">
        <f t="shared" si="92"/>
        <v>35</v>
      </c>
      <c r="AP107" s="737">
        <f t="shared" si="79"/>
        <v>0.009444144630329197</v>
      </c>
      <c r="AQ107" s="739">
        <v>9083.519999999999</v>
      </c>
      <c r="AR107" s="736">
        <f t="shared" si="80"/>
        <v>0.024283585674258527</v>
      </c>
      <c r="AS107" s="733">
        <v>24761.94</v>
      </c>
      <c r="AT107" s="736">
        <f t="shared" si="81"/>
        <v>0.028982077043119656</v>
      </c>
      <c r="AU107" s="733">
        <v>7668.78</v>
      </c>
      <c r="AV107" s="736">
        <f t="shared" si="82"/>
        <v>0.07545722842736091</v>
      </c>
      <c r="AW107" s="733">
        <f t="shared" si="93"/>
        <v>41514.24</v>
      </c>
      <c r="AX107" s="737">
        <f t="shared" si="83"/>
        <v>0.031211861756115022</v>
      </c>
      <c r="AY107" s="739">
        <v>44384.759999999995</v>
      </c>
      <c r="AZ107" s="736">
        <f t="shared" si="84"/>
        <v>0.07450984895092387</v>
      </c>
      <c r="BA107" s="733">
        <v>7146.659999999999</v>
      </c>
      <c r="BB107" s="736">
        <f t="shared" si="85"/>
        <v>0.009355960640519087</v>
      </c>
      <c r="BC107" s="733">
        <v>1031.6999999999998</v>
      </c>
      <c r="BD107" s="736">
        <f t="shared" si="86"/>
        <v>0.0359525706244812</v>
      </c>
      <c r="BE107" s="733">
        <f t="shared" si="94"/>
        <v>52563.11999999999</v>
      </c>
      <c r="BF107" s="735">
        <f t="shared" si="87"/>
        <v>0.03786292659246511</v>
      </c>
      <c r="BG107" s="718"/>
      <c r="BH107" s="123"/>
      <c r="BI107" s="123"/>
    </row>
    <row r="108" spans="1:61" ht="11.25" customHeight="1">
      <c r="A108" s="681">
        <v>28000</v>
      </c>
      <c r="B108" s="682" t="s">
        <v>134</v>
      </c>
      <c r="C108" s="731"/>
      <c r="D108" s="757"/>
      <c r="E108" s="738"/>
      <c r="F108" s="737"/>
      <c r="G108" s="739">
        <v>35683</v>
      </c>
      <c r="H108" s="737">
        <f t="shared" si="88"/>
        <v>0.00757524831469579</v>
      </c>
      <c r="I108" s="757"/>
      <c r="J108" s="757"/>
      <c r="K108" s="739">
        <v>54326</v>
      </c>
      <c r="L108" s="735">
        <f t="shared" si="89"/>
        <v>0.01177690022824784</v>
      </c>
      <c r="M108" s="635"/>
      <c r="N108" s="758">
        <v>41.784</v>
      </c>
      <c r="O108" s="759">
        <v>89.524</v>
      </c>
      <c r="P108" s="760">
        <f t="shared" si="71"/>
        <v>238.74599999999998</v>
      </c>
      <c r="Q108" s="761">
        <f t="shared" si="90"/>
        <v>0.024112764183113027</v>
      </c>
      <c r="R108" s="123"/>
      <c r="S108" s="123"/>
      <c r="T108" s="123"/>
      <c r="U108" s="123"/>
      <c r="V108" s="123"/>
      <c r="W108" s="123"/>
      <c r="X108" s="123"/>
      <c r="Y108" s="123"/>
      <c r="AA108" s="731">
        <v>387</v>
      </c>
      <c r="AB108" s="736">
        <f t="shared" si="72"/>
        <v>0.026744989633724948</v>
      </c>
      <c r="AC108" s="733">
        <v>271</v>
      </c>
      <c r="AD108" s="736">
        <f t="shared" si="73"/>
        <v>0.027105421084216843</v>
      </c>
      <c r="AE108" s="733">
        <v>69</v>
      </c>
      <c r="AF108" s="736">
        <f t="shared" si="74"/>
        <v>0.02217223650385604</v>
      </c>
      <c r="AG108" s="733">
        <f t="shared" si="91"/>
        <v>727</v>
      </c>
      <c r="AH108" s="757">
        <f t="shared" si="75"/>
        <v>0.026359680928208847</v>
      </c>
      <c r="AI108" s="733">
        <v>7</v>
      </c>
      <c r="AJ108" s="736">
        <f t="shared" si="76"/>
        <v>0.025179856115107913</v>
      </c>
      <c r="AK108" s="733">
        <v>15</v>
      </c>
      <c r="AL108" s="736">
        <f t="shared" si="77"/>
        <v>0.0045857535921736475</v>
      </c>
      <c r="AM108" s="733">
        <v>17</v>
      </c>
      <c r="AN108" s="736">
        <f t="shared" si="78"/>
        <v>0.10828025477707007</v>
      </c>
      <c r="AO108" s="733">
        <f t="shared" si="92"/>
        <v>39</v>
      </c>
      <c r="AP108" s="737">
        <f t="shared" si="79"/>
        <v>0.010523475445223961</v>
      </c>
      <c r="AQ108" s="739">
        <v>15645.359999999999</v>
      </c>
      <c r="AR108" s="736">
        <f t="shared" si="80"/>
        <v>0.0418257944017977</v>
      </c>
      <c r="AS108" s="733">
        <v>18274.199999999997</v>
      </c>
      <c r="AT108" s="736">
        <f t="shared" si="81"/>
        <v>0.021388642097564938</v>
      </c>
      <c r="AU108" s="733">
        <v>3071.16</v>
      </c>
      <c r="AV108" s="736">
        <f t="shared" si="82"/>
        <v>0.03021878599424859</v>
      </c>
      <c r="AW108" s="733">
        <f t="shared" si="93"/>
        <v>36990.72</v>
      </c>
      <c r="AX108" s="737">
        <f t="shared" si="83"/>
        <v>0.027810920756327448</v>
      </c>
      <c r="AY108" s="739">
        <v>16336.199999999999</v>
      </c>
      <c r="AZ108" s="736">
        <f t="shared" si="84"/>
        <v>0.02742400306844247</v>
      </c>
      <c r="BA108" s="733">
        <v>1460.34</v>
      </c>
      <c r="BB108" s="736">
        <f t="shared" si="85"/>
        <v>0.0019117858638546743</v>
      </c>
      <c r="BC108" s="733">
        <v>832.1999999999999</v>
      </c>
      <c r="BD108" s="736">
        <f t="shared" si="86"/>
        <v>0.029000416083835665</v>
      </c>
      <c r="BE108" s="733">
        <f t="shared" si="94"/>
        <v>18628.739999999998</v>
      </c>
      <c r="BF108" s="735">
        <f t="shared" si="87"/>
        <v>0.013418887903345892</v>
      </c>
      <c r="BG108" s="718"/>
      <c r="BH108" s="123"/>
      <c r="BI108" s="123"/>
    </row>
    <row r="109" spans="1:61" ht="11.25" customHeight="1">
      <c r="A109" s="681">
        <v>31000</v>
      </c>
      <c r="B109" s="682" t="s">
        <v>135</v>
      </c>
      <c r="C109" s="731"/>
      <c r="D109" s="757"/>
      <c r="E109" s="738"/>
      <c r="F109" s="737"/>
      <c r="G109" s="739">
        <v>68269</v>
      </c>
      <c r="H109" s="737">
        <f t="shared" si="88"/>
        <v>0.014493025451782835</v>
      </c>
      <c r="I109" s="757"/>
      <c r="J109" s="757"/>
      <c r="K109" s="739">
        <v>198204</v>
      </c>
      <c r="L109" s="735">
        <f t="shared" si="89"/>
        <v>0.042967064257255</v>
      </c>
      <c r="M109" s="635"/>
      <c r="N109" s="758">
        <v>71.395</v>
      </c>
      <c r="O109" s="759">
        <v>129.15200000000002</v>
      </c>
      <c r="P109" s="760">
        <f t="shared" si="71"/>
        <v>372.2155</v>
      </c>
      <c r="Q109" s="761">
        <f t="shared" si="90"/>
        <v>0.037592858421919145</v>
      </c>
      <c r="R109" s="123"/>
      <c r="S109" s="123"/>
      <c r="T109" s="123"/>
      <c r="U109" s="123"/>
      <c r="V109" s="123"/>
      <c r="W109" s="123"/>
      <c r="X109" s="123"/>
      <c r="Y109" s="123"/>
      <c r="AA109" s="731">
        <v>1944</v>
      </c>
      <c r="AB109" s="736">
        <f t="shared" si="72"/>
        <v>0.13434692467173462</v>
      </c>
      <c r="AC109" s="733">
        <v>1189</v>
      </c>
      <c r="AD109" s="736">
        <f t="shared" si="73"/>
        <v>0.1189237847569514</v>
      </c>
      <c r="AE109" s="733">
        <v>92</v>
      </c>
      <c r="AF109" s="736">
        <f t="shared" si="74"/>
        <v>0.02956298200514139</v>
      </c>
      <c r="AG109" s="733">
        <f t="shared" si="91"/>
        <v>3225</v>
      </c>
      <c r="AH109" s="757">
        <f t="shared" si="75"/>
        <v>0.11693255982596085</v>
      </c>
      <c r="AI109" s="733"/>
      <c r="AJ109" s="736">
        <f t="shared" si="76"/>
        <v>0</v>
      </c>
      <c r="AK109" s="733">
        <v>1</v>
      </c>
      <c r="AL109" s="736">
        <f t="shared" si="77"/>
        <v>0.0003057169061449098</v>
      </c>
      <c r="AM109" s="733">
        <v>11</v>
      </c>
      <c r="AN109" s="736">
        <f t="shared" si="78"/>
        <v>0.07006369426751592</v>
      </c>
      <c r="AO109" s="733">
        <f t="shared" si="92"/>
        <v>12</v>
      </c>
      <c r="AP109" s="737">
        <f t="shared" si="79"/>
        <v>0.0032379924446842958</v>
      </c>
      <c r="AQ109" s="739">
        <v>3899.9399999999996</v>
      </c>
      <c r="AR109" s="736">
        <f t="shared" si="80"/>
        <v>0.010425972212806027</v>
      </c>
      <c r="AS109" s="733">
        <v>76486.01999999999</v>
      </c>
      <c r="AT109" s="736">
        <f t="shared" si="81"/>
        <v>0.08952140762644568</v>
      </c>
      <c r="AU109" s="733">
        <v>1299.6</v>
      </c>
      <c r="AV109" s="736">
        <f t="shared" si="82"/>
        <v>0.012787459552131921</v>
      </c>
      <c r="AW109" s="733">
        <f t="shared" si="93"/>
        <v>81685.56</v>
      </c>
      <c r="AX109" s="737">
        <f t="shared" si="83"/>
        <v>0.06141406915291811</v>
      </c>
      <c r="AY109" s="739">
        <v>30522.359999999997</v>
      </c>
      <c r="AZ109" s="736">
        <f t="shared" si="84"/>
        <v>0.05123867816849118</v>
      </c>
      <c r="BA109" s="733">
        <v>59168.27999999999</v>
      </c>
      <c r="BB109" s="736">
        <f t="shared" si="85"/>
        <v>0.07745941444635854</v>
      </c>
      <c r="BC109" s="733">
        <v>402.41999999999996</v>
      </c>
      <c r="BD109" s="736">
        <f t="shared" si="86"/>
        <v>0.014023488873416423</v>
      </c>
      <c r="BE109" s="733">
        <f t="shared" si="94"/>
        <v>90093.05999999998</v>
      </c>
      <c r="BF109" s="735">
        <f t="shared" si="87"/>
        <v>0.06489696420742441</v>
      </c>
      <c r="BG109" s="718"/>
      <c r="BH109" s="123"/>
      <c r="BI109" s="123"/>
    </row>
    <row r="110" spans="1:61" ht="11.25" customHeight="1">
      <c r="A110" s="681">
        <v>41000</v>
      </c>
      <c r="B110" s="682" t="s">
        <v>136</v>
      </c>
      <c r="C110" s="731"/>
      <c r="D110" s="757"/>
      <c r="E110" s="738"/>
      <c r="F110" s="737"/>
      <c r="G110" s="739">
        <v>136926</v>
      </c>
      <c r="H110" s="737">
        <f t="shared" si="88"/>
        <v>0.029068420557072996</v>
      </c>
      <c r="I110" s="757"/>
      <c r="J110" s="757"/>
      <c r="K110" s="739">
        <v>110014.04000000001</v>
      </c>
      <c r="L110" s="735">
        <f t="shared" si="89"/>
        <v>0.023849066244274696</v>
      </c>
      <c r="M110" s="635"/>
      <c r="N110" s="758">
        <v>60.43800000000001</v>
      </c>
      <c r="O110" s="759">
        <v>107.455</v>
      </c>
      <c r="P110" s="760">
        <f t="shared" si="71"/>
        <v>312.27750000000003</v>
      </c>
      <c r="Q110" s="761">
        <f t="shared" si="90"/>
        <v>0.03153926648903889</v>
      </c>
      <c r="R110" s="123"/>
      <c r="S110" s="123"/>
      <c r="T110" s="123"/>
      <c r="U110" s="123"/>
      <c r="V110" s="123"/>
      <c r="W110" s="123"/>
      <c r="X110" s="123"/>
      <c r="Y110" s="123"/>
      <c r="AA110" s="731">
        <v>645</v>
      </c>
      <c r="AB110" s="736">
        <f t="shared" si="72"/>
        <v>0.04457498272287491</v>
      </c>
      <c r="AC110" s="733">
        <v>208</v>
      </c>
      <c r="AD110" s="736">
        <f t="shared" si="73"/>
        <v>0.02080416083216643</v>
      </c>
      <c r="AE110" s="733">
        <v>78</v>
      </c>
      <c r="AF110" s="736">
        <f t="shared" si="74"/>
        <v>0.02506426735218509</v>
      </c>
      <c r="AG110" s="733">
        <f t="shared" si="91"/>
        <v>931</v>
      </c>
      <c r="AH110" s="757">
        <f t="shared" si="75"/>
        <v>0.03375634517766497</v>
      </c>
      <c r="AI110" s="733">
        <v>4</v>
      </c>
      <c r="AJ110" s="736">
        <f t="shared" si="76"/>
        <v>0.014388489208633094</v>
      </c>
      <c r="AK110" s="733">
        <v>11</v>
      </c>
      <c r="AL110" s="736">
        <f t="shared" si="77"/>
        <v>0.003362885967594008</v>
      </c>
      <c r="AM110" s="733">
        <v>10</v>
      </c>
      <c r="AN110" s="736">
        <f t="shared" si="78"/>
        <v>0.06369426751592357</v>
      </c>
      <c r="AO110" s="733">
        <f t="shared" si="92"/>
        <v>25</v>
      </c>
      <c r="AP110" s="737">
        <f t="shared" si="79"/>
        <v>0.006745817593092283</v>
      </c>
      <c r="AQ110" s="739">
        <v>13366.499999999998</v>
      </c>
      <c r="AR110" s="736">
        <f t="shared" si="80"/>
        <v>0.035733564511882684</v>
      </c>
      <c r="AS110" s="733">
        <v>64603.799999999996</v>
      </c>
      <c r="AT110" s="736">
        <f t="shared" si="81"/>
        <v>0.07561412025383688</v>
      </c>
      <c r="AU110" s="733">
        <v>2518.2599999999998</v>
      </c>
      <c r="AV110" s="736">
        <f t="shared" si="82"/>
        <v>0.02477850714970124</v>
      </c>
      <c r="AW110" s="733">
        <f t="shared" si="93"/>
        <v>80488.55999999998</v>
      </c>
      <c r="AX110" s="737">
        <f t="shared" si="83"/>
        <v>0.06051412256779286</v>
      </c>
      <c r="AY110" s="739">
        <v>12227.64</v>
      </c>
      <c r="AZ110" s="736">
        <f t="shared" si="84"/>
        <v>0.0205268567279912</v>
      </c>
      <c r="BA110" s="733">
        <v>77349</v>
      </c>
      <c r="BB110" s="736">
        <f t="shared" si="85"/>
        <v>0.10126047686380925</v>
      </c>
      <c r="BC110" s="733">
        <v>3276.3599999999997</v>
      </c>
      <c r="BD110" s="736">
        <f t="shared" si="86"/>
        <v>0.11417424085608725</v>
      </c>
      <c r="BE110" s="733">
        <f t="shared" si="94"/>
        <v>92853</v>
      </c>
      <c r="BF110" s="735">
        <f t="shared" si="87"/>
        <v>0.0668850388426365</v>
      </c>
      <c r="BG110" s="718"/>
      <c r="BH110" s="123"/>
      <c r="BI110" s="123"/>
    </row>
    <row r="111" spans="1:61" ht="11.25" customHeight="1">
      <c r="A111" s="681">
        <v>43000</v>
      </c>
      <c r="B111" s="682" t="s">
        <v>137</v>
      </c>
      <c r="C111" s="731"/>
      <c r="D111" s="757"/>
      <c r="E111" s="738"/>
      <c r="F111" s="737"/>
      <c r="G111" s="739">
        <v>133335</v>
      </c>
      <c r="H111" s="737">
        <f t="shared" si="88"/>
        <v>0.028306076676287394</v>
      </c>
      <c r="I111" s="757"/>
      <c r="J111" s="757"/>
      <c r="K111" s="739">
        <v>132741</v>
      </c>
      <c r="L111" s="735">
        <f t="shared" si="89"/>
        <v>0.028775862629272293</v>
      </c>
      <c r="M111" s="635"/>
      <c r="N111" s="758">
        <v>53.181</v>
      </c>
      <c r="O111" s="759">
        <v>108.025</v>
      </c>
      <c r="P111" s="760">
        <f t="shared" si="71"/>
        <v>294.99</v>
      </c>
      <c r="Q111" s="761">
        <f t="shared" si="90"/>
        <v>0.029793271118161192</v>
      </c>
      <c r="R111" s="123"/>
      <c r="S111" s="123"/>
      <c r="T111" s="123"/>
      <c r="U111" s="123"/>
      <c r="V111" s="123"/>
      <c r="W111" s="123"/>
      <c r="X111" s="123"/>
      <c r="Y111" s="123"/>
      <c r="AA111" s="731">
        <v>473</v>
      </c>
      <c r="AB111" s="736">
        <f t="shared" si="72"/>
        <v>0.0326883206634416</v>
      </c>
      <c r="AC111" s="733">
        <v>111</v>
      </c>
      <c r="AD111" s="736">
        <f t="shared" si="73"/>
        <v>0.011102220444088817</v>
      </c>
      <c r="AE111" s="733">
        <v>51</v>
      </c>
      <c r="AF111" s="736">
        <f t="shared" si="74"/>
        <v>0.016388174807197942</v>
      </c>
      <c r="AG111" s="733">
        <f t="shared" si="91"/>
        <v>635</v>
      </c>
      <c r="AH111" s="757">
        <f t="shared" si="75"/>
        <v>0.023023930384336477</v>
      </c>
      <c r="AI111" s="733">
        <v>6</v>
      </c>
      <c r="AJ111" s="736">
        <f t="shared" si="76"/>
        <v>0.02158273381294964</v>
      </c>
      <c r="AK111" s="733">
        <v>5</v>
      </c>
      <c r="AL111" s="736">
        <f t="shared" si="77"/>
        <v>0.001528584530724549</v>
      </c>
      <c r="AM111" s="733">
        <v>21</v>
      </c>
      <c r="AN111" s="736">
        <f t="shared" si="78"/>
        <v>0.1337579617834395</v>
      </c>
      <c r="AO111" s="733">
        <f t="shared" si="92"/>
        <v>32</v>
      </c>
      <c r="AP111" s="737">
        <f t="shared" si="79"/>
        <v>0.008634646519158122</v>
      </c>
      <c r="AQ111" s="739">
        <v>11813.82</v>
      </c>
      <c r="AR111" s="736">
        <f t="shared" si="80"/>
        <v>0.03158268051485205</v>
      </c>
      <c r="AS111" s="733">
        <v>26377.319999999996</v>
      </c>
      <c r="AT111" s="736">
        <f t="shared" si="81"/>
        <v>0.03087276362155069</v>
      </c>
      <c r="AU111" s="733">
        <v>3723.24</v>
      </c>
      <c r="AV111" s="736">
        <f t="shared" si="82"/>
        <v>0.03663494990987969</v>
      </c>
      <c r="AW111" s="733">
        <f t="shared" si="93"/>
        <v>41914.38</v>
      </c>
      <c r="AX111" s="737">
        <f t="shared" si="83"/>
        <v>0.031512701043142605</v>
      </c>
      <c r="AY111" s="739">
        <v>30936.179999999997</v>
      </c>
      <c r="AZ111" s="736">
        <f t="shared" si="84"/>
        <v>0.05193336854628913</v>
      </c>
      <c r="BA111" s="733">
        <v>562.02</v>
      </c>
      <c r="BB111" s="736">
        <f t="shared" si="85"/>
        <v>0.0007357614604842736</v>
      </c>
      <c r="BC111" s="733">
        <v>343.14</v>
      </c>
      <c r="BD111" s="736">
        <f t="shared" si="86"/>
        <v>0.011957705809910322</v>
      </c>
      <c r="BE111" s="733">
        <f t="shared" si="94"/>
        <v>31841.339999999997</v>
      </c>
      <c r="BF111" s="735">
        <f t="shared" si="87"/>
        <v>0.022936353835649844</v>
      </c>
      <c r="BG111" s="718"/>
      <c r="BH111" s="123"/>
      <c r="BI111" s="123"/>
    </row>
    <row r="112" spans="1:61" ht="11.25" customHeight="1">
      <c r="A112" s="681">
        <v>51000</v>
      </c>
      <c r="B112" s="682" t="s">
        <v>138</v>
      </c>
      <c r="C112" s="731"/>
      <c r="D112" s="757"/>
      <c r="E112" s="738"/>
      <c r="F112" s="737"/>
      <c r="G112" s="739">
        <v>20724.8</v>
      </c>
      <c r="H112" s="737">
        <f t="shared" si="88"/>
        <v>0.004399728337651187</v>
      </c>
      <c r="I112" s="757"/>
      <c r="J112" s="757"/>
      <c r="K112" s="739">
        <v>11934.75</v>
      </c>
      <c r="L112" s="735">
        <f t="shared" si="89"/>
        <v>0.0025872392592696117</v>
      </c>
      <c r="M112" s="635"/>
      <c r="N112" s="758">
        <v>59.507999999999996</v>
      </c>
      <c r="O112" s="759">
        <v>57.431</v>
      </c>
      <c r="P112" s="760">
        <f t="shared" si="71"/>
        <v>234.91649999999998</v>
      </c>
      <c r="Q112" s="761">
        <f t="shared" si="90"/>
        <v>0.0237259940154904</v>
      </c>
      <c r="R112" s="123"/>
      <c r="S112" s="123"/>
      <c r="T112" s="123"/>
      <c r="U112" s="123"/>
      <c r="V112" s="123"/>
      <c r="W112" s="123"/>
      <c r="X112" s="123"/>
      <c r="Y112" s="123"/>
      <c r="AA112" s="731">
        <v>82</v>
      </c>
      <c r="AB112" s="736">
        <f t="shared" si="72"/>
        <v>0.0056668970283344855</v>
      </c>
      <c r="AC112" s="733">
        <v>70</v>
      </c>
      <c r="AD112" s="736">
        <f t="shared" si="73"/>
        <v>0.007001400280056011</v>
      </c>
      <c r="AE112" s="733">
        <v>24</v>
      </c>
      <c r="AF112" s="736">
        <f t="shared" si="74"/>
        <v>0.007712082262210797</v>
      </c>
      <c r="AG112" s="733">
        <f t="shared" si="91"/>
        <v>176</v>
      </c>
      <c r="AH112" s="757">
        <f t="shared" si="75"/>
        <v>0.006381435823060188</v>
      </c>
      <c r="AI112" s="733">
        <v>15</v>
      </c>
      <c r="AJ112" s="736">
        <f t="shared" si="76"/>
        <v>0.0539568345323741</v>
      </c>
      <c r="AK112" s="733">
        <v>31</v>
      </c>
      <c r="AL112" s="736">
        <f t="shared" si="77"/>
        <v>0.009477224090492203</v>
      </c>
      <c r="AM112" s="733"/>
      <c r="AN112" s="736">
        <f t="shared" si="78"/>
        <v>0</v>
      </c>
      <c r="AO112" s="733">
        <f t="shared" si="92"/>
        <v>46</v>
      </c>
      <c r="AP112" s="737">
        <f t="shared" si="79"/>
        <v>0.0124123043712898</v>
      </c>
      <c r="AQ112" s="739">
        <v>5681.400000000001</v>
      </c>
      <c r="AR112" s="736">
        <f t="shared" si="80"/>
        <v>0.01518846918922757</v>
      </c>
      <c r="AS112" s="733">
        <v>10443.78</v>
      </c>
      <c r="AT112" s="736">
        <f t="shared" si="81"/>
        <v>0.012223696389757515</v>
      </c>
      <c r="AU112" s="733">
        <v>125.46000000000001</v>
      </c>
      <c r="AV112" s="736">
        <f t="shared" si="82"/>
        <v>0.0012344680481767244</v>
      </c>
      <c r="AW112" s="733">
        <f t="shared" si="93"/>
        <v>16250.64</v>
      </c>
      <c r="AX112" s="737">
        <f t="shared" si="83"/>
        <v>0.01221780114795292</v>
      </c>
      <c r="AY112" s="739">
        <v>29539.2</v>
      </c>
      <c r="AZ112" s="736">
        <f t="shared" si="84"/>
        <v>0.04958822195120872</v>
      </c>
      <c r="BA112" s="733">
        <v>2795.82</v>
      </c>
      <c r="BB112" s="736">
        <f t="shared" si="85"/>
        <v>0.003660112818851895</v>
      </c>
      <c r="BC112" s="733">
        <v>0</v>
      </c>
      <c r="BD112" s="736">
        <f t="shared" si="86"/>
        <v>0</v>
      </c>
      <c r="BE112" s="733">
        <f t="shared" si="94"/>
        <v>32335.02</v>
      </c>
      <c r="BF112" s="735">
        <f t="shared" si="87"/>
        <v>0.023291967612004222</v>
      </c>
      <c r="BG112" s="718"/>
      <c r="BH112" s="123"/>
      <c r="BI112" s="123"/>
    </row>
    <row r="113" spans="1:61" ht="11.25" customHeight="1">
      <c r="A113" s="681">
        <v>52000</v>
      </c>
      <c r="B113" s="682" t="s">
        <v>139</v>
      </c>
      <c r="C113" s="731"/>
      <c r="D113" s="757"/>
      <c r="E113" s="738"/>
      <c r="F113" s="737"/>
      <c r="G113" s="739">
        <v>342</v>
      </c>
      <c r="H113" s="737">
        <f t="shared" si="88"/>
        <v>7.260417912243814E-05</v>
      </c>
      <c r="I113" s="757"/>
      <c r="J113" s="757"/>
      <c r="K113" s="739">
        <v>2488</v>
      </c>
      <c r="L113" s="735">
        <f t="shared" si="89"/>
        <v>0.0005393536753650302</v>
      </c>
      <c r="M113" s="635"/>
      <c r="N113" s="758">
        <v>12.738</v>
      </c>
      <c r="O113" s="759">
        <v>7.397</v>
      </c>
      <c r="P113" s="760">
        <f t="shared" si="71"/>
        <v>42.9405</v>
      </c>
      <c r="Q113" s="761">
        <f t="shared" si="90"/>
        <v>0.004336885855281198</v>
      </c>
      <c r="R113" s="123"/>
      <c r="S113" s="123"/>
      <c r="T113" s="123"/>
      <c r="U113" s="123"/>
      <c r="V113" s="123"/>
      <c r="W113" s="123"/>
      <c r="X113" s="123"/>
      <c r="Y113" s="123"/>
      <c r="AA113" s="731">
        <v>0</v>
      </c>
      <c r="AB113" s="736">
        <f t="shared" si="72"/>
        <v>0</v>
      </c>
      <c r="AC113" s="733">
        <v>21</v>
      </c>
      <c r="AD113" s="736">
        <f t="shared" si="73"/>
        <v>0.0021004200840168035</v>
      </c>
      <c r="AE113" s="733">
        <v>9</v>
      </c>
      <c r="AF113" s="736">
        <f t="shared" si="74"/>
        <v>0.002892030848329049</v>
      </c>
      <c r="AG113" s="733">
        <f t="shared" si="91"/>
        <v>30</v>
      </c>
      <c r="AH113" s="757">
        <f t="shared" si="75"/>
        <v>0.0010877447425670776</v>
      </c>
      <c r="AI113" s="733"/>
      <c r="AJ113" s="736">
        <f t="shared" si="76"/>
        <v>0</v>
      </c>
      <c r="AK113" s="733">
        <v>0</v>
      </c>
      <c r="AL113" s="736">
        <f t="shared" si="77"/>
        <v>0</v>
      </c>
      <c r="AM113" s="733"/>
      <c r="AN113" s="736">
        <f t="shared" si="78"/>
        <v>0</v>
      </c>
      <c r="AO113" s="733">
        <f t="shared" si="92"/>
        <v>0</v>
      </c>
      <c r="AP113" s="737">
        <f t="shared" si="79"/>
        <v>0</v>
      </c>
      <c r="AQ113" s="739">
        <v>0</v>
      </c>
      <c r="AR113" s="736">
        <f t="shared" si="80"/>
        <v>0</v>
      </c>
      <c r="AS113" s="733">
        <v>5272</v>
      </c>
      <c r="AT113" s="736">
        <f t="shared" si="81"/>
        <v>0.006170498360440532</v>
      </c>
      <c r="AU113" s="733">
        <v>114</v>
      </c>
      <c r="AV113" s="736">
        <f t="shared" si="82"/>
        <v>0.001121706978257186</v>
      </c>
      <c r="AW113" s="733">
        <f t="shared" si="93"/>
        <v>5386</v>
      </c>
      <c r="AX113" s="737">
        <f t="shared" si="83"/>
        <v>0.004049383715525938</v>
      </c>
      <c r="AY113" s="739">
        <v>0</v>
      </c>
      <c r="AZ113" s="736">
        <f t="shared" si="84"/>
        <v>0</v>
      </c>
      <c r="BA113" s="733">
        <v>5288</v>
      </c>
      <c r="BB113" s="736">
        <f t="shared" si="85"/>
        <v>0.006922719125726555</v>
      </c>
      <c r="BC113" s="733">
        <v>0</v>
      </c>
      <c r="BD113" s="736">
        <f t="shared" si="86"/>
        <v>0</v>
      </c>
      <c r="BE113" s="733">
        <f t="shared" si="94"/>
        <v>5288</v>
      </c>
      <c r="BF113" s="735">
        <f t="shared" si="87"/>
        <v>0.0038091185572879907</v>
      </c>
      <c r="BG113" s="718"/>
      <c r="BH113" s="123"/>
      <c r="BI113" s="123"/>
    </row>
    <row r="114" spans="1:61" ht="11.25" customHeight="1">
      <c r="A114" s="681">
        <v>53000</v>
      </c>
      <c r="B114" s="682" t="s">
        <v>69</v>
      </c>
      <c r="C114" s="731"/>
      <c r="D114" s="757"/>
      <c r="E114" s="738"/>
      <c r="F114" s="737"/>
      <c r="G114" s="739">
        <v>1049</v>
      </c>
      <c r="H114" s="737">
        <f t="shared" si="88"/>
        <v>0.0002226952745597591</v>
      </c>
      <c r="I114" s="757"/>
      <c r="J114" s="757"/>
      <c r="K114" s="739">
        <v>12114</v>
      </c>
      <c r="L114" s="735">
        <f t="shared" si="89"/>
        <v>0.0026260974370466137</v>
      </c>
      <c r="M114" s="635"/>
      <c r="N114" s="758">
        <v>7.397</v>
      </c>
      <c r="O114" s="759">
        <v>10.703</v>
      </c>
      <c r="P114" s="760">
        <f t="shared" si="71"/>
        <v>34.547</v>
      </c>
      <c r="Q114" s="761">
        <f t="shared" si="90"/>
        <v>0.0034891628099905578</v>
      </c>
      <c r="R114" s="123"/>
      <c r="S114" s="123"/>
      <c r="T114" s="123"/>
      <c r="U114" s="123"/>
      <c r="V114" s="123"/>
      <c r="W114" s="123"/>
      <c r="X114" s="123"/>
      <c r="Y114" s="123"/>
      <c r="AA114" s="731">
        <v>17</v>
      </c>
      <c r="AB114" s="736">
        <f t="shared" si="72"/>
        <v>0.0011748445058742225</v>
      </c>
      <c r="AC114" s="733">
        <v>30</v>
      </c>
      <c r="AD114" s="736">
        <f t="shared" si="73"/>
        <v>0.0030006001200240046</v>
      </c>
      <c r="AE114" s="733">
        <v>0</v>
      </c>
      <c r="AF114" s="736">
        <f t="shared" si="74"/>
        <v>0</v>
      </c>
      <c r="AG114" s="733">
        <f t="shared" si="91"/>
        <v>47</v>
      </c>
      <c r="AH114" s="757">
        <f t="shared" si="75"/>
        <v>0.0017041334300217548</v>
      </c>
      <c r="AI114" s="733"/>
      <c r="AJ114" s="736">
        <f t="shared" si="76"/>
        <v>0</v>
      </c>
      <c r="AK114" s="733">
        <v>10</v>
      </c>
      <c r="AL114" s="736">
        <f t="shared" si="77"/>
        <v>0.003057169061449098</v>
      </c>
      <c r="AM114" s="733"/>
      <c r="AN114" s="736">
        <f t="shared" si="78"/>
        <v>0</v>
      </c>
      <c r="AO114" s="733">
        <f t="shared" si="92"/>
        <v>10</v>
      </c>
      <c r="AP114" s="737">
        <f t="shared" si="79"/>
        <v>0.002698327037236913</v>
      </c>
      <c r="AQ114" s="739">
        <v>424</v>
      </c>
      <c r="AR114" s="736">
        <f t="shared" si="80"/>
        <v>0.0011335077509473878</v>
      </c>
      <c r="AS114" s="733">
        <v>12963</v>
      </c>
      <c r="AT114" s="736">
        <f t="shared" si="81"/>
        <v>0.015172262945066505</v>
      </c>
      <c r="AU114" s="733">
        <v>0</v>
      </c>
      <c r="AV114" s="736">
        <f t="shared" si="82"/>
        <v>0</v>
      </c>
      <c r="AW114" s="733">
        <f t="shared" si="93"/>
        <v>13387</v>
      </c>
      <c r="AX114" s="737">
        <f t="shared" si="83"/>
        <v>0.010064816152942023</v>
      </c>
      <c r="AY114" s="739">
        <v>0</v>
      </c>
      <c r="AZ114" s="736">
        <f t="shared" si="84"/>
        <v>0</v>
      </c>
      <c r="BA114" s="733">
        <v>11538</v>
      </c>
      <c r="BB114" s="736">
        <f t="shared" si="85"/>
        <v>0.01510482853113332</v>
      </c>
      <c r="BC114" s="733">
        <v>0</v>
      </c>
      <c r="BD114" s="736">
        <f t="shared" si="86"/>
        <v>0</v>
      </c>
      <c r="BE114" s="733">
        <f t="shared" si="94"/>
        <v>11538</v>
      </c>
      <c r="BF114" s="735">
        <f t="shared" si="87"/>
        <v>0.008311197033659009</v>
      </c>
      <c r="BG114" s="718"/>
      <c r="BH114" s="123"/>
      <c r="BI114" s="123"/>
    </row>
    <row r="115" spans="1:61" ht="11.25" customHeight="1">
      <c r="A115" s="681">
        <v>54000</v>
      </c>
      <c r="B115" s="682" t="s">
        <v>140</v>
      </c>
      <c r="C115" s="731"/>
      <c r="D115" s="757"/>
      <c r="E115" s="738"/>
      <c r="F115" s="737"/>
      <c r="G115" s="739">
        <v>2897</v>
      </c>
      <c r="H115" s="737">
        <f t="shared" si="88"/>
        <v>0.0006150125933266178</v>
      </c>
      <c r="I115" s="757"/>
      <c r="J115" s="757"/>
      <c r="K115" s="739">
        <v>8029.389999999999</v>
      </c>
      <c r="L115" s="735">
        <f t="shared" si="89"/>
        <v>0.0017406274145656026</v>
      </c>
      <c r="M115" s="635"/>
      <c r="N115" s="758">
        <v>24.279</v>
      </c>
      <c r="O115" s="759">
        <v>38.64</v>
      </c>
      <c r="P115" s="760">
        <f t="shared" si="71"/>
        <v>118.6575</v>
      </c>
      <c r="Q115" s="761">
        <f t="shared" si="90"/>
        <v>0.01198411833520869</v>
      </c>
      <c r="R115" s="123"/>
      <c r="S115" s="123"/>
      <c r="T115" s="123"/>
      <c r="U115" s="123"/>
      <c r="V115" s="123"/>
      <c r="W115" s="123"/>
      <c r="X115" s="123"/>
      <c r="Y115" s="123"/>
      <c r="AA115" s="731">
        <v>56</v>
      </c>
      <c r="AB115" s="736">
        <f t="shared" si="72"/>
        <v>0.0038700760193503803</v>
      </c>
      <c r="AC115" s="733">
        <v>41</v>
      </c>
      <c r="AD115" s="736">
        <f t="shared" si="73"/>
        <v>0.004100820164032806</v>
      </c>
      <c r="AE115" s="733">
        <v>10</v>
      </c>
      <c r="AF115" s="736">
        <f t="shared" si="74"/>
        <v>0.003213367609254499</v>
      </c>
      <c r="AG115" s="733">
        <f t="shared" si="91"/>
        <v>107</v>
      </c>
      <c r="AH115" s="757">
        <f t="shared" si="75"/>
        <v>0.00387962291515591</v>
      </c>
      <c r="AI115" s="733"/>
      <c r="AJ115" s="736">
        <f t="shared" si="76"/>
        <v>0</v>
      </c>
      <c r="AK115" s="733">
        <v>0</v>
      </c>
      <c r="AL115" s="736">
        <f t="shared" si="77"/>
        <v>0</v>
      </c>
      <c r="AM115" s="733">
        <v>1</v>
      </c>
      <c r="AN115" s="736">
        <f t="shared" si="78"/>
        <v>0.006369426751592357</v>
      </c>
      <c r="AO115" s="733">
        <f t="shared" si="92"/>
        <v>1</v>
      </c>
      <c r="AP115" s="737">
        <f t="shared" si="79"/>
        <v>0.0002698327037236913</v>
      </c>
      <c r="AQ115" s="739">
        <v>3349.68</v>
      </c>
      <c r="AR115" s="736">
        <f t="shared" si="80"/>
        <v>0.008954925101871335</v>
      </c>
      <c r="AS115" s="733">
        <v>3525.12</v>
      </c>
      <c r="AT115" s="736">
        <f t="shared" si="81"/>
        <v>0.004125900451509129</v>
      </c>
      <c r="AU115" s="733">
        <v>459</v>
      </c>
      <c r="AV115" s="736">
        <f t="shared" si="82"/>
        <v>0.004516346517719723</v>
      </c>
      <c r="AW115" s="733">
        <f t="shared" si="93"/>
        <v>7333.799999999999</v>
      </c>
      <c r="AX115" s="737">
        <f t="shared" si="83"/>
        <v>0.005513808075180862</v>
      </c>
      <c r="AY115" s="739">
        <v>1801.32</v>
      </c>
      <c r="AZ115" s="736">
        <f t="shared" si="84"/>
        <v>0.003023922650753957</v>
      </c>
      <c r="BA115" s="733">
        <v>1928.82</v>
      </c>
      <c r="BB115" s="736">
        <f t="shared" si="85"/>
        <v>0.002525090602133868</v>
      </c>
      <c r="BC115" s="733">
        <v>91.8</v>
      </c>
      <c r="BD115" s="736">
        <f t="shared" si="86"/>
        <v>0.0031990365254699763</v>
      </c>
      <c r="BE115" s="733">
        <f t="shared" si="94"/>
        <v>3821.94</v>
      </c>
      <c r="BF115" s="735">
        <f t="shared" si="87"/>
        <v>0.0027530678099170315</v>
      </c>
      <c r="BG115" s="718"/>
      <c r="BH115" s="123"/>
      <c r="BI115" s="123"/>
    </row>
    <row r="116" spans="1:61" ht="11.25" customHeight="1">
      <c r="A116" s="681">
        <v>55000</v>
      </c>
      <c r="B116" s="682" t="s">
        <v>57</v>
      </c>
      <c r="C116" s="731"/>
      <c r="D116" s="757"/>
      <c r="E116" s="738"/>
      <c r="F116" s="737"/>
      <c r="G116" s="739">
        <v>343</v>
      </c>
      <c r="H116" s="737">
        <f t="shared" si="88"/>
        <v>7.281647204384878E-05</v>
      </c>
      <c r="I116" s="757"/>
      <c r="J116" s="757"/>
      <c r="K116" s="739">
        <v>15020</v>
      </c>
      <c r="L116" s="735">
        <f t="shared" si="89"/>
        <v>0.0032560659983853508</v>
      </c>
      <c r="M116" s="635"/>
      <c r="N116" s="758">
        <v>5.078</v>
      </c>
      <c r="O116" s="759">
        <v>10.794</v>
      </c>
      <c r="P116" s="760">
        <f t="shared" si="71"/>
        <v>28.886000000000003</v>
      </c>
      <c r="Q116" s="761">
        <f t="shared" si="90"/>
        <v>0.002917415605678851</v>
      </c>
      <c r="R116" s="123"/>
      <c r="S116" s="123"/>
      <c r="T116" s="123"/>
      <c r="U116" s="123"/>
      <c r="V116" s="123"/>
      <c r="W116" s="123"/>
      <c r="X116" s="123"/>
      <c r="Y116" s="123"/>
      <c r="AA116" s="731">
        <v>51</v>
      </c>
      <c r="AB116" s="736">
        <f t="shared" si="72"/>
        <v>0.0035245335176226677</v>
      </c>
      <c r="AC116" s="733">
        <v>0</v>
      </c>
      <c r="AD116" s="736">
        <f t="shared" si="73"/>
        <v>0</v>
      </c>
      <c r="AE116" s="733">
        <v>0</v>
      </c>
      <c r="AF116" s="736">
        <f t="shared" si="74"/>
        <v>0</v>
      </c>
      <c r="AG116" s="733">
        <f t="shared" si="91"/>
        <v>51</v>
      </c>
      <c r="AH116" s="757">
        <f t="shared" si="75"/>
        <v>0.0018491660623640319</v>
      </c>
      <c r="AI116" s="733"/>
      <c r="AJ116" s="736">
        <f t="shared" si="76"/>
        <v>0</v>
      </c>
      <c r="AK116" s="733">
        <v>0</v>
      </c>
      <c r="AL116" s="736">
        <f t="shared" si="77"/>
        <v>0</v>
      </c>
      <c r="AM116" s="733"/>
      <c r="AN116" s="736">
        <f t="shared" si="78"/>
        <v>0</v>
      </c>
      <c r="AO116" s="733">
        <f t="shared" si="92"/>
        <v>0</v>
      </c>
      <c r="AP116" s="737">
        <f t="shared" si="79"/>
        <v>0</v>
      </c>
      <c r="AQ116" s="739">
        <v>6828.900000000001</v>
      </c>
      <c r="AR116" s="736">
        <f t="shared" si="80"/>
        <v>0.018256158208595795</v>
      </c>
      <c r="AS116" s="733">
        <v>0</v>
      </c>
      <c r="AT116" s="736">
        <f t="shared" si="81"/>
        <v>0</v>
      </c>
      <c r="AU116" s="733">
        <v>0</v>
      </c>
      <c r="AV116" s="736">
        <f t="shared" si="82"/>
        <v>0</v>
      </c>
      <c r="AW116" s="733">
        <f t="shared" si="93"/>
        <v>6828.900000000001</v>
      </c>
      <c r="AX116" s="737">
        <f t="shared" si="83"/>
        <v>0.0051342065456656295</v>
      </c>
      <c r="AY116" s="739">
        <v>1158.72</v>
      </c>
      <c r="AZ116" s="736">
        <f t="shared" si="84"/>
        <v>0.0019451733472573584</v>
      </c>
      <c r="BA116" s="733">
        <v>0</v>
      </c>
      <c r="BB116" s="736">
        <f t="shared" si="85"/>
        <v>0</v>
      </c>
      <c r="BC116" s="733">
        <v>0</v>
      </c>
      <c r="BD116" s="736">
        <f t="shared" si="86"/>
        <v>0</v>
      </c>
      <c r="BE116" s="733">
        <f t="shared" si="94"/>
        <v>1158.72</v>
      </c>
      <c r="BF116" s="735">
        <f t="shared" si="87"/>
        <v>0.0008346637395425002</v>
      </c>
      <c r="BG116" s="718"/>
      <c r="BH116" s="123"/>
      <c r="BI116" s="123"/>
    </row>
    <row r="117" spans="1:61" ht="11.25" customHeight="1">
      <c r="A117" s="740">
        <v>56000</v>
      </c>
      <c r="B117" s="741" t="s">
        <v>141</v>
      </c>
      <c r="C117" s="742"/>
      <c r="D117" s="762"/>
      <c r="E117" s="748"/>
      <c r="F117" s="747"/>
      <c r="G117" s="749">
        <v>0</v>
      </c>
      <c r="H117" s="747">
        <f t="shared" si="88"/>
        <v>0</v>
      </c>
      <c r="I117" s="762"/>
      <c r="J117" s="762"/>
      <c r="K117" s="749">
        <v>5909</v>
      </c>
      <c r="L117" s="746">
        <f t="shared" si="89"/>
        <v>0.0012809649789919466</v>
      </c>
      <c r="M117" s="635"/>
      <c r="N117" s="763">
        <v>3.26</v>
      </c>
      <c r="O117" s="764">
        <v>6.555</v>
      </c>
      <c r="P117" s="765">
        <f t="shared" si="71"/>
        <v>17.982499999999998</v>
      </c>
      <c r="Q117" s="766">
        <f t="shared" si="90"/>
        <v>0.0018161886771834081</v>
      </c>
      <c r="R117" s="123"/>
      <c r="S117" s="123"/>
      <c r="T117" s="123"/>
      <c r="U117" s="123"/>
      <c r="V117" s="123"/>
      <c r="W117" s="123"/>
      <c r="X117" s="123"/>
      <c r="Y117" s="123"/>
      <c r="AA117" s="742">
        <v>27</v>
      </c>
      <c r="AB117" s="743">
        <f t="shared" si="72"/>
        <v>0.0018659295093296476</v>
      </c>
      <c r="AC117" s="744">
        <v>0</v>
      </c>
      <c r="AD117" s="743">
        <f t="shared" si="73"/>
        <v>0</v>
      </c>
      <c r="AE117" s="744">
        <v>0</v>
      </c>
      <c r="AF117" s="743">
        <f t="shared" si="74"/>
        <v>0</v>
      </c>
      <c r="AG117" s="744">
        <f t="shared" si="91"/>
        <v>27</v>
      </c>
      <c r="AH117" s="762">
        <f t="shared" si="75"/>
        <v>0.0009789702683103698</v>
      </c>
      <c r="AI117" s="744"/>
      <c r="AJ117" s="743">
        <f t="shared" si="76"/>
        <v>0</v>
      </c>
      <c r="AK117" s="744">
        <v>0</v>
      </c>
      <c r="AL117" s="743">
        <f t="shared" si="77"/>
        <v>0</v>
      </c>
      <c r="AM117" s="744"/>
      <c r="AN117" s="743">
        <f t="shared" si="78"/>
        <v>0</v>
      </c>
      <c r="AO117" s="744">
        <f t="shared" si="92"/>
        <v>0</v>
      </c>
      <c r="AP117" s="747">
        <f t="shared" si="79"/>
        <v>0</v>
      </c>
      <c r="AQ117" s="749">
        <v>1772.6999999999998</v>
      </c>
      <c r="AR117" s="743">
        <f t="shared" si="80"/>
        <v>0.004739078278548194</v>
      </c>
      <c r="AS117" s="744">
        <v>0</v>
      </c>
      <c r="AT117" s="743">
        <f t="shared" si="81"/>
        <v>0</v>
      </c>
      <c r="AU117" s="744">
        <v>0</v>
      </c>
      <c r="AV117" s="743">
        <f>AU117/AU$91</f>
        <v>0</v>
      </c>
      <c r="AW117" s="744">
        <f t="shared" si="93"/>
        <v>1772.6999999999998</v>
      </c>
      <c r="AX117" s="747">
        <f t="shared" si="83"/>
        <v>0.00133277803797119</v>
      </c>
      <c r="AY117" s="749">
        <v>493.61999999999995</v>
      </c>
      <c r="AZ117" s="743">
        <f t="shared" si="84"/>
        <v>0.0008286527096047166</v>
      </c>
      <c r="BA117" s="744">
        <v>0</v>
      </c>
      <c r="BB117" s="743">
        <f t="shared" si="85"/>
        <v>0</v>
      </c>
      <c r="BC117" s="744">
        <v>0</v>
      </c>
      <c r="BD117" s="743">
        <f t="shared" si="86"/>
        <v>0</v>
      </c>
      <c r="BE117" s="744">
        <f t="shared" si="94"/>
        <v>493.61999999999995</v>
      </c>
      <c r="BF117" s="746">
        <f t="shared" si="87"/>
        <v>0.00035557055640100186</v>
      </c>
      <c r="BG117" s="718"/>
      <c r="BH117" s="123"/>
      <c r="BI117" s="123"/>
    </row>
    <row r="118" spans="7:61" ht="9" customHeight="1">
      <c r="G118" s="773"/>
      <c r="H118" s="635"/>
      <c r="I118" s="635"/>
      <c r="J118" s="635"/>
      <c r="K118" s="635"/>
      <c r="L118" s="635"/>
      <c r="M118" s="635"/>
      <c r="N118" s="635"/>
      <c r="O118" s="635"/>
      <c r="Q118" s="767"/>
      <c r="R118" s="123"/>
      <c r="BF118" s="876"/>
      <c r="BG118" s="718"/>
      <c r="BH118" s="123"/>
      <c r="BI118" s="123"/>
    </row>
    <row r="119" spans="1:61" ht="15">
      <c r="A119" s="721" t="s">
        <v>439</v>
      </c>
      <c r="B119" s="722" t="s">
        <v>436</v>
      </c>
      <c r="C119" s="723"/>
      <c r="D119" s="752"/>
      <c r="E119" s="728"/>
      <c r="F119" s="751"/>
      <c r="G119" s="753">
        <f>SUM(G120:G145)</f>
        <v>4539174.95</v>
      </c>
      <c r="H119" s="751">
        <f>SUM(H120:H145)</f>
        <v>1</v>
      </c>
      <c r="I119" s="752"/>
      <c r="J119" s="752"/>
      <c r="K119" s="753">
        <f>SUM(K120:K145)</f>
        <v>4514237.020000001</v>
      </c>
      <c r="L119" s="768">
        <f>SUM(L120:L145)</f>
        <v>0.9999999999999997</v>
      </c>
      <c r="M119" s="635"/>
      <c r="N119" s="769">
        <f>SUM(N120:N145)</f>
        <v>1964.074</v>
      </c>
      <c r="O119" s="770">
        <f>SUM(O120:O145)</f>
        <v>3457.411</v>
      </c>
      <c r="P119" s="755">
        <f>SUM(P120:P145)</f>
        <v>10096.301500000001</v>
      </c>
      <c r="Q119" s="756">
        <f>SUM(Q120:Q145)</f>
        <v>1.0000000000000002</v>
      </c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718"/>
      <c r="BH119" s="123"/>
      <c r="BI119" s="774"/>
    </row>
    <row r="120" spans="1:61" ht="11.25" customHeight="1">
      <c r="A120" s="729">
        <v>11000</v>
      </c>
      <c r="B120" s="730" t="s">
        <v>121</v>
      </c>
      <c r="C120" s="731"/>
      <c r="D120" s="757"/>
      <c r="E120" s="738"/>
      <c r="F120" s="737"/>
      <c r="G120" s="739">
        <v>1163972.84</v>
      </c>
      <c r="H120" s="737">
        <f>G120/G$119</f>
        <v>0.2564282832940819</v>
      </c>
      <c r="I120" s="757"/>
      <c r="J120" s="757"/>
      <c r="K120" s="739">
        <v>1360671.52</v>
      </c>
      <c r="L120" s="735">
        <f>K120/K$119</f>
        <v>0.30141782852155147</v>
      </c>
      <c r="M120" s="635"/>
      <c r="N120" s="758">
        <v>425.098</v>
      </c>
      <c r="O120" s="759">
        <v>761.228</v>
      </c>
      <c r="P120" s="760">
        <f>N120*2.5+O120*1.5</f>
        <v>2204.587</v>
      </c>
      <c r="Q120" s="761">
        <f aca="true" t="shared" si="95" ref="Q120:Q145">P120/P$119</f>
        <v>0.2183558999302863</v>
      </c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718"/>
      <c r="BH120" s="123"/>
      <c r="BI120" s="774"/>
    </row>
    <row r="121" spans="1:61" ht="11.25" customHeight="1">
      <c r="A121" s="681">
        <v>12000</v>
      </c>
      <c r="B121" s="682" t="s">
        <v>122</v>
      </c>
      <c r="C121" s="731"/>
      <c r="D121" s="757"/>
      <c r="E121" s="738"/>
      <c r="F121" s="737"/>
      <c r="G121" s="739">
        <v>152234.86</v>
      </c>
      <c r="H121" s="737">
        <f aca="true" t="shared" si="96" ref="H121:H145">G121/G$119</f>
        <v>0.033538002319121886</v>
      </c>
      <c r="I121" s="757"/>
      <c r="J121" s="757"/>
      <c r="K121" s="739">
        <v>106482.33</v>
      </c>
      <c r="L121" s="735">
        <f aca="true" t="shared" si="97" ref="L121:L145">K121/K$119</f>
        <v>0.023588112349492887</v>
      </c>
      <c r="M121" s="635"/>
      <c r="N121" s="758">
        <v>53.29</v>
      </c>
      <c r="O121" s="759">
        <v>99.74</v>
      </c>
      <c r="P121" s="760">
        <f aca="true" t="shared" si="98" ref="P121:P145">N121*2.5+O121*1.5</f>
        <v>282.835</v>
      </c>
      <c r="Q121" s="761">
        <f t="shared" si="95"/>
        <v>0.028013723639295038</v>
      </c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718"/>
      <c r="BH121" s="718"/>
      <c r="BI121" s="774"/>
    </row>
    <row r="122" spans="1:61" ht="11.25" customHeight="1">
      <c r="A122" s="681">
        <v>13000</v>
      </c>
      <c r="B122" s="682" t="s">
        <v>123</v>
      </c>
      <c r="C122" s="731"/>
      <c r="D122" s="757"/>
      <c r="E122" s="738"/>
      <c r="F122" s="737"/>
      <c r="G122" s="739">
        <v>41970.509999999995</v>
      </c>
      <c r="H122" s="737">
        <f t="shared" si="96"/>
        <v>0.00924628604588153</v>
      </c>
      <c r="I122" s="757"/>
      <c r="J122" s="757"/>
      <c r="K122" s="739">
        <v>53524.42</v>
      </c>
      <c r="L122" s="735">
        <f t="shared" si="97"/>
        <v>0.011856803212339962</v>
      </c>
      <c r="M122" s="635"/>
      <c r="N122" s="758">
        <v>38.94</v>
      </c>
      <c r="O122" s="759">
        <v>82.613</v>
      </c>
      <c r="P122" s="760">
        <f t="shared" si="98"/>
        <v>221.2695</v>
      </c>
      <c r="Q122" s="761">
        <f t="shared" si="95"/>
        <v>0.021915896628087024</v>
      </c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718"/>
      <c r="BH122" s="718"/>
      <c r="BI122" s="774"/>
    </row>
    <row r="123" spans="1:61" ht="11.25" customHeight="1">
      <c r="A123" s="681">
        <v>14000</v>
      </c>
      <c r="B123" s="682" t="s">
        <v>106</v>
      </c>
      <c r="C123" s="731"/>
      <c r="D123" s="757"/>
      <c r="E123" s="738"/>
      <c r="F123" s="737"/>
      <c r="G123" s="739">
        <v>502455.88</v>
      </c>
      <c r="H123" s="737">
        <f t="shared" si="96"/>
        <v>0.11069321749759832</v>
      </c>
      <c r="I123" s="757"/>
      <c r="J123" s="757"/>
      <c r="K123" s="739">
        <v>438086.18000000005</v>
      </c>
      <c r="L123" s="735">
        <f t="shared" si="97"/>
        <v>0.0970454537630813</v>
      </c>
      <c r="M123" s="635"/>
      <c r="N123" s="758">
        <v>193.343</v>
      </c>
      <c r="O123" s="759">
        <v>301.944</v>
      </c>
      <c r="P123" s="760">
        <f t="shared" si="98"/>
        <v>936.2735</v>
      </c>
      <c r="Q123" s="761">
        <f t="shared" si="95"/>
        <v>0.09273430473525378</v>
      </c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718"/>
      <c r="BH123" s="718"/>
      <c r="BI123" s="774"/>
    </row>
    <row r="124" spans="1:61" ht="11.25" customHeight="1">
      <c r="A124" s="681">
        <v>15000</v>
      </c>
      <c r="B124" s="682" t="s">
        <v>124</v>
      </c>
      <c r="C124" s="731"/>
      <c r="D124" s="757"/>
      <c r="E124" s="738"/>
      <c r="F124" s="737"/>
      <c r="G124" s="739">
        <v>278687.91000000003</v>
      </c>
      <c r="H124" s="737">
        <f t="shared" si="96"/>
        <v>0.06139615966994179</v>
      </c>
      <c r="I124" s="757"/>
      <c r="J124" s="757"/>
      <c r="K124" s="739">
        <v>190474.55</v>
      </c>
      <c r="L124" s="735">
        <f t="shared" si="97"/>
        <v>0.04219418456676427</v>
      </c>
      <c r="M124" s="635"/>
      <c r="N124" s="758">
        <v>129.465</v>
      </c>
      <c r="O124" s="759">
        <v>219.003</v>
      </c>
      <c r="P124" s="760">
        <f t="shared" si="98"/>
        <v>652.167</v>
      </c>
      <c r="Q124" s="761">
        <f t="shared" si="95"/>
        <v>0.06459464389014134</v>
      </c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718"/>
      <c r="BH124" s="718"/>
      <c r="BI124" s="774"/>
    </row>
    <row r="125" spans="1:61" ht="11.25" customHeight="1">
      <c r="A125" s="681">
        <v>16000</v>
      </c>
      <c r="B125" s="682" t="s">
        <v>40</v>
      </c>
      <c r="C125" s="731"/>
      <c r="D125" s="757"/>
      <c r="E125" s="738"/>
      <c r="F125" s="737"/>
      <c r="G125" s="739">
        <v>41319.54</v>
      </c>
      <c r="H125" s="737">
        <f t="shared" si="96"/>
        <v>0.009102874521282773</v>
      </c>
      <c r="I125" s="757"/>
      <c r="J125" s="757"/>
      <c r="K125" s="739">
        <v>81571</v>
      </c>
      <c r="L125" s="735">
        <f t="shared" si="97"/>
        <v>0.018069720229267</v>
      </c>
      <c r="M125" s="635"/>
      <c r="N125" s="758">
        <v>33.95</v>
      </c>
      <c r="O125" s="759">
        <v>39.539</v>
      </c>
      <c r="P125" s="760">
        <f t="shared" si="98"/>
        <v>144.1835</v>
      </c>
      <c r="Q125" s="761">
        <f t="shared" si="95"/>
        <v>0.014280823527308488</v>
      </c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718"/>
      <c r="BH125" s="718"/>
      <c r="BI125" s="774"/>
    </row>
    <row r="126" spans="1:61" ht="11.25" customHeight="1">
      <c r="A126" s="681">
        <v>17000</v>
      </c>
      <c r="B126" s="682" t="s">
        <v>125</v>
      </c>
      <c r="C126" s="731"/>
      <c r="D126" s="757"/>
      <c r="E126" s="738"/>
      <c r="F126" s="737"/>
      <c r="G126" s="739">
        <v>51377.24</v>
      </c>
      <c r="H126" s="737">
        <f t="shared" si="96"/>
        <v>0.011318629611312954</v>
      </c>
      <c r="I126" s="757"/>
      <c r="J126" s="757"/>
      <c r="K126" s="739">
        <v>53946.81</v>
      </c>
      <c r="L126" s="735">
        <f t="shared" si="97"/>
        <v>0.011950371626698498</v>
      </c>
      <c r="M126" s="635"/>
      <c r="N126" s="758">
        <v>33.242</v>
      </c>
      <c r="O126" s="759">
        <v>92.578</v>
      </c>
      <c r="P126" s="760">
        <f t="shared" si="98"/>
        <v>221.972</v>
      </c>
      <c r="Q126" s="761">
        <f t="shared" si="95"/>
        <v>0.021985476562877998</v>
      </c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718"/>
      <c r="BH126" s="718"/>
      <c r="BI126" s="774"/>
    </row>
    <row r="127" spans="1:61" ht="11.25" customHeight="1">
      <c r="A127" s="681">
        <v>18000</v>
      </c>
      <c r="B127" s="682" t="s">
        <v>126</v>
      </c>
      <c r="C127" s="731"/>
      <c r="D127" s="757"/>
      <c r="E127" s="738"/>
      <c r="F127" s="737"/>
      <c r="G127" s="739">
        <v>14750.31</v>
      </c>
      <c r="H127" s="737">
        <f t="shared" si="96"/>
        <v>0.0032495574994305955</v>
      </c>
      <c r="I127" s="757"/>
      <c r="J127" s="757"/>
      <c r="K127" s="739">
        <v>43307.78999999999</v>
      </c>
      <c r="L127" s="735">
        <f t="shared" si="97"/>
        <v>0.009593601268193929</v>
      </c>
      <c r="M127" s="635"/>
      <c r="N127" s="758">
        <v>32.214</v>
      </c>
      <c r="O127" s="759">
        <v>66.651</v>
      </c>
      <c r="P127" s="760">
        <f t="shared" si="98"/>
        <v>180.51149999999998</v>
      </c>
      <c r="Q127" s="761">
        <f t="shared" si="95"/>
        <v>0.017878972809993832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718"/>
      <c r="BH127" s="718"/>
      <c r="BI127" s="774"/>
    </row>
    <row r="128" spans="1:61" ht="11.25" customHeight="1">
      <c r="A128" s="681">
        <v>19000</v>
      </c>
      <c r="B128" s="682" t="s">
        <v>127</v>
      </c>
      <c r="C128" s="731"/>
      <c r="D128" s="757"/>
      <c r="E128" s="738"/>
      <c r="F128" s="737"/>
      <c r="G128" s="739">
        <v>16744</v>
      </c>
      <c r="H128" s="737">
        <f t="shared" si="96"/>
        <v>0.003688776084737602</v>
      </c>
      <c r="I128" s="757"/>
      <c r="J128" s="757"/>
      <c r="K128" s="739">
        <v>55881.92999999999</v>
      </c>
      <c r="L128" s="735">
        <f t="shared" si="97"/>
        <v>0.012379042073426614</v>
      </c>
      <c r="M128" s="635"/>
      <c r="N128" s="758">
        <v>18.369</v>
      </c>
      <c r="O128" s="759">
        <v>45.857</v>
      </c>
      <c r="P128" s="760">
        <f t="shared" si="98"/>
        <v>114.708</v>
      </c>
      <c r="Q128" s="761">
        <f t="shared" si="95"/>
        <v>0.011361388128118002</v>
      </c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718"/>
      <c r="BH128" s="718"/>
      <c r="BI128" s="774"/>
    </row>
    <row r="129" spans="1:61" ht="11.25" customHeight="1">
      <c r="A129" s="681">
        <v>21000</v>
      </c>
      <c r="B129" s="682" t="s">
        <v>128</v>
      </c>
      <c r="C129" s="731"/>
      <c r="D129" s="757"/>
      <c r="E129" s="738"/>
      <c r="F129" s="737"/>
      <c r="G129" s="739">
        <v>680280</v>
      </c>
      <c r="H129" s="737">
        <f t="shared" si="96"/>
        <v>0.14986864518187384</v>
      </c>
      <c r="I129" s="757"/>
      <c r="J129" s="757"/>
      <c r="K129" s="739">
        <v>552867.49</v>
      </c>
      <c r="L129" s="735">
        <f t="shared" si="97"/>
        <v>0.12247196758844528</v>
      </c>
      <c r="M129" s="635"/>
      <c r="N129" s="758">
        <v>189.077</v>
      </c>
      <c r="O129" s="759">
        <v>316.665</v>
      </c>
      <c r="P129" s="760">
        <f t="shared" si="98"/>
        <v>947.69</v>
      </c>
      <c r="Q129" s="761">
        <f t="shared" si="95"/>
        <v>0.0938650653410063</v>
      </c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718"/>
      <c r="BH129" s="718"/>
      <c r="BI129" s="774"/>
    </row>
    <row r="130" spans="1:61" ht="11.25" customHeight="1">
      <c r="A130" s="681">
        <v>22000</v>
      </c>
      <c r="B130" s="682" t="s">
        <v>46</v>
      </c>
      <c r="C130" s="731"/>
      <c r="D130" s="757"/>
      <c r="E130" s="738"/>
      <c r="F130" s="737"/>
      <c r="G130" s="739">
        <v>209485.07</v>
      </c>
      <c r="H130" s="737">
        <f t="shared" si="96"/>
        <v>0.0461504727858088</v>
      </c>
      <c r="I130" s="757"/>
      <c r="J130" s="757"/>
      <c r="K130" s="739">
        <v>122027.03999999998</v>
      </c>
      <c r="L130" s="735">
        <f t="shared" si="97"/>
        <v>0.02703159791109062</v>
      </c>
      <c r="M130" s="635"/>
      <c r="N130" s="758">
        <v>60.22</v>
      </c>
      <c r="O130" s="759">
        <v>99.28</v>
      </c>
      <c r="P130" s="760">
        <f t="shared" si="98"/>
        <v>299.47</v>
      </c>
      <c r="Q130" s="761">
        <f t="shared" si="95"/>
        <v>0.02966135668591117</v>
      </c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718"/>
      <c r="BH130" s="718"/>
      <c r="BI130" s="774"/>
    </row>
    <row r="131" spans="1:61" ht="11.25" customHeight="1">
      <c r="A131" s="681">
        <v>23000</v>
      </c>
      <c r="B131" s="682" t="s">
        <v>129</v>
      </c>
      <c r="C131" s="731"/>
      <c r="D131" s="757"/>
      <c r="E131" s="738"/>
      <c r="F131" s="737"/>
      <c r="G131" s="739">
        <v>177503.91</v>
      </c>
      <c r="H131" s="737">
        <f t="shared" si="96"/>
        <v>0.03910488402743763</v>
      </c>
      <c r="I131" s="757"/>
      <c r="J131" s="757"/>
      <c r="K131" s="739">
        <v>108735.63</v>
      </c>
      <c r="L131" s="735">
        <f t="shared" si="97"/>
        <v>0.024087266467900253</v>
      </c>
      <c r="M131" s="635"/>
      <c r="N131" s="758">
        <v>68.896</v>
      </c>
      <c r="O131" s="759">
        <v>136.493</v>
      </c>
      <c r="P131" s="760">
        <f t="shared" si="98"/>
        <v>376.97950000000003</v>
      </c>
      <c r="Q131" s="761">
        <f t="shared" si="95"/>
        <v>0.03733837583990533</v>
      </c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718"/>
      <c r="BH131" s="718"/>
      <c r="BI131" s="774"/>
    </row>
    <row r="132" spans="1:61" ht="11.25" customHeight="1">
      <c r="A132" s="681">
        <v>24000</v>
      </c>
      <c r="B132" s="682" t="s">
        <v>130</v>
      </c>
      <c r="C132" s="731"/>
      <c r="D132" s="757"/>
      <c r="E132" s="738"/>
      <c r="F132" s="737"/>
      <c r="G132" s="739">
        <v>141839.61000000002</v>
      </c>
      <c r="H132" s="737">
        <f t="shared" si="96"/>
        <v>0.031247883494774753</v>
      </c>
      <c r="I132" s="757"/>
      <c r="J132" s="757"/>
      <c r="K132" s="739">
        <v>134936.34</v>
      </c>
      <c r="L132" s="735">
        <f t="shared" si="97"/>
        <v>0.029891283820981104</v>
      </c>
      <c r="M132" s="635"/>
      <c r="N132" s="758">
        <v>50.4</v>
      </c>
      <c r="O132" s="759">
        <v>97.619</v>
      </c>
      <c r="P132" s="760">
        <f t="shared" si="98"/>
        <v>272.4285</v>
      </c>
      <c r="Q132" s="761">
        <f t="shared" si="95"/>
        <v>0.02698299966576869</v>
      </c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718"/>
      <c r="BH132" s="718"/>
      <c r="BI132" s="774"/>
    </row>
    <row r="133" spans="1:61" ht="11.25" customHeight="1">
      <c r="A133" s="681">
        <v>25000</v>
      </c>
      <c r="B133" s="682" t="s">
        <v>131</v>
      </c>
      <c r="C133" s="731"/>
      <c r="D133" s="757"/>
      <c r="E133" s="738"/>
      <c r="F133" s="737"/>
      <c r="G133" s="739">
        <v>79687.54000000001</v>
      </c>
      <c r="H133" s="737">
        <f t="shared" si="96"/>
        <v>0.01755551193284586</v>
      </c>
      <c r="I133" s="757"/>
      <c r="J133" s="757"/>
      <c r="K133" s="739">
        <v>69696.93</v>
      </c>
      <c r="L133" s="735">
        <f t="shared" si="97"/>
        <v>0.015439359894310549</v>
      </c>
      <c r="M133" s="635"/>
      <c r="N133" s="758">
        <v>55.039</v>
      </c>
      <c r="O133" s="759">
        <v>100.271</v>
      </c>
      <c r="P133" s="760">
        <f t="shared" si="98"/>
        <v>288.004</v>
      </c>
      <c r="Q133" s="761">
        <f t="shared" si="95"/>
        <v>0.02852569329471787</v>
      </c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718"/>
      <c r="BH133" s="718"/>
      <c r="BI133" s="774"/>
    </row>
    <row r="134" spans="1:61" ht="11.25" customHeight="1">
      <c r="A134" s="681">
        <v>26000</v>
      </c>
      <c r="B134" s="682" t="s">
        <v>132</v>
      </c>
      <c r="C134" s="731"/>
      <c r="D134" s="757"/>
      <c r="E134" s="738"/>
      <c r="F134" s="737"/>
      <c r="G134" s="739">
        <v>385002.17</v>
      </c>
      <c r="H134" s="737">
        <f t="shared" si="96"/>
        <v>0.08481765392188727</v>
      </c>
      <c r="I134" s="757"/>
      <c r="J134" s="757"/>
      <c r="K134" s="739">
        <v>386125.49</v>
      </c>
      <c r="L134" s="735">
        <f t="shared" si="97"/>
        <v>0.08553505017332914</v>
      </c>
      <c r="M134" s="635"/>
      <c r="N134" s="758">
        <v>120.147</v>
      </c>
      <c r="O134" s="759">
        <v>247.974</v>
      </c>
      <c r="P134" s="760">
        <f t="shared" si="98"/>
        <v>672.3285000000001</v>
      </c>
      <c r="Q134" s="761">
        <f t="shared" si="95"/>
        <v>0.06659156325709964</v>
      </c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718"/>
      <c r="BH134" s="718"/>
      <c r="BI134" s="774"/>
    </row>
    <row r="135" spans="1:61" ht="11.25" customHeight="1">
      <c r="A135" s="681">
        <v>27000</v>
      </c>
      <c r="B135" s="682" t="s">
        <v>133</v>
      </c>
      <c r="C135" s="731"/>
      <c r="D135" s="757"/>
      <c r="E135" s="738"/>
      <c r="F135" s="737"/>
      <c r="G135" s="739">
        <v>216669.6</v>
      </c>
      <c r="H135" s="737">
        <f t="shared" si="96"/>
        <v>0.04773325601825504</v>
      </c>
      <c r="I135" s="757"/>
      <c r="J135" s="757"/>
      <c r="K135" s="739">
        <v>210674.5</v>
      </c>
      <c r="L135" s="735">
        <f t="shared" si="97"/>
        <v>0.04666890530262851</v>
      </c>
      <c r="M135" s="635"/>
      <c r="N135" s="758">
        <v>114.925</v>
      </c>
      <c r="O135" s="759">
        <v>190.144</v>
      </c>
      <c r="P135" s="760">
        <f t="shared" si="98"/>
        <v>572.5285</v>
      </c>
      <c r="Q135" s="761">
        <f t="shared" si="95"/>
        <v>0.05670675543910807</v>
      </c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718"/>
      <c r="BH135" s="718"/>
      <c r="BI135" s="774"/>
    </row>
    <row r="136" spans="1:61" ht="11.25" customHeight="1">
      <c r="A136" s="681">
        <v>28000</v>
      </c>
      <c r="B136" s="682" t="s">
        <v>134</v>
      </c>
      <c r="C136" s="731"/>
      <c r="D136" s="757"/>
      <c r="E136" s="738"/>
      <c r="F136" s="737"/>
      <c r="G136" s="739">
        <v>34504.630000000005</v>
      </c>
      <c r="H136" s="737">
        <f t="shared" si="96"/>
        <v>0.007601520183750574</v>
      </c>
      <c r="I136" s="757"/>
      <c r="J136" s="757"/>
      <c r="K136" s="739">
        <v>47742.47</v>
      </c>
      <c r="L136" s="735">
        <f t="shared" si="97"/>
        <v>0.010575977687587168</v>
      </c>
      <c r="M136" s="635"/>
      <c r="N136" s="758">
        <v>41.692</v>
      </c>
      <c r="O136" s="759">
        <v>80.147</v>
      </c>
      <c r="P136" s="760">
        <f t="shared" si="98"/>
        <v>224.45050000000003</v>
      </c>
      <c r="Q136" s="761">
        <f t="shared" si="95"/>
        <v>0.022230962496514194</v>
      </c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718"/>
      <c r="BH136" s="718"/>
      <c r="BI136" s="774"/>
    </row>
    <row r="137" spans="1:61" ht="11.25" customHeight="1">
      <c r="A137" s="681">
        <v>31000</v>
      </c>
      <c r="B137" s="682" t="s">
        <v>135</v>
      </c>
      <c r="C137" s="731"/>
      <c r="D137" s="757"/>
      <c r="E137" s="738"/>
      <c r="F137" s="737"/>
      <c r="G137" s="739">
        <v>71408.79999999999</v>
      </c>
      <c r="H137" s="737">
        <f t="shared" si="96"/>
        <v>0.015731669474427282</v>
      </c>
      <c r="I137" s="757"/>
      <c r="J137" s="757"/>
      <c r="K137" s="739">
        <v>197885.11</v>
      </c>
      <c r="L137" s="735">
        <f t="shared" si="97"/>
        <v>0.04383578202103352</v>
      </c>
      <c r="M137" s="635"/>
      <c r="N137" s="758">
        <v>76.099</v>
      </c>
      <c r="O137" s="759">
        <v>134.366</v>
      </c>
      <c r="P137" s="760">
        <f t="shared" si="98"/>
        <v>391.79650000000004</v>
      </c>
      <c r="Q137" s="761">
        <f t="shared" si="95"/>
        <v>0.03880594294851436</v>
      </c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718"/>
      <c r="BH137" s="718"/>
      <c r="BI137" s="774"/>
    </row>
    <row r="138" spans="1:61" ht="11.25" customHeight="1">
      <c r="A138" s="681">
        <v>41000</v>
      </c>
      <c r="B138" s="682" t="s">
        <v>136</v>
      </c>
      <c r="C138" s="731"/>
      <c r="D138" s="757"/>
      <c r="E138" s="738"/>
      <c r="F138" s="737"/>
      <c r="G138" s="739">
        <v>103221</v>
      </c>
      <c r="H138" s="737">
        <f t="shared" si="96"/>
        <v>0.022740035609334686</v>
      </c>
      <c r="I138" s="757"/>
      <c r="J138" s="757"/>
      <c r="K138" s="739">
        <v>117598.16</v>
      </c>
      <c r="L138" s="735">
        <f t="shared" si="97"/>
        <v>0.02605050631568299</v>
      </c>
      <c r="M138" s="635"/>
      <c r="N138" s="758">
        <v>59.439</v>
      </c>
      <c r="O138" s="759">
        <v>105.327</v>
      </c>
      <c r="P138" s="760">
        <f t="shared" si="98"/>
        <v>306.58799999999997</v>
      </c>
      <c r="Q138" s="761">
        <f t="shared" si="95"/>
        <v>0.03036636732767934</v>
      </c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718"/>
      <c r="BH138" s="718"/>
      <c r="BI138" s="774"/>
    </row>
    <row r="139" spans="1:61" ht="11.25" customHeight="1">
      <c r="A139" s="681">
        <v>43000</v>
      </c>
      <c r="B139" s="682" t="s">
        <v>137</v>
      </c>
      <c r="C139" s="731"/>
      <c r="D139" s="757"/>
      <c r="E139" s="738"/>
      <c r="F139" s="737"/>
      <c r="G139" s="739">
        <v>137065.43</v>
      </c>
      <c r="H139" s="737">
        <f t="shared" si="96"/>
        <v>0.03019611085930935</v>
      </c>
      <c r="I139" s="757"/>
      <c r="J139" s="757"/>
      <c r="K139" s="739">
        <v>130241.20000000001</v>
      </c>
      <c r="L139" s="735">
        <f t="shared" si="97"/>
        <v>0.02885120994377915</v>
      </c>
      <c r="M139" s="635"/>
      <c r="N139" s="758">
        <v>58.662</v>
      </c>
      <c r="O139" s="759">
        <v>111.016</v>
      </c>
      <c r="P139" s="760">
        <f t="shared" si="98"/>
        <v>313.179</v>
      </c>
      <c r="Q139" s="761">
        <f t="shared" si="95"/>
        <v>0.031019180637582973</v>
      </c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718"/>
      <c r="BH139" s="718"/>
      <c r="BI139" s="774"/>
    </row>
    <row r="140" spans="1:61" ht="11.25" customHeight="1">
      <c r="A140" s="681">
        <v>51000</v>
      </c>
      <c r="B140" s="682" t="s">
        <v>138</v>
      </c>
      <c r="C140" s="731"/>
      <c r="D140" s="757"/>
      <c r="E140" s="738"/>
      <c r="F140" s="737"/>
      <c r="G140" s="739">
        <v>28767.600000000002</v>
      </c>
      <c r="H140" s="737">
        <f t="shared" si="96"/>
        <v>0.006337627502108065</v>
      </c>
      <c r="I140" s="757"/>
      <c r="J140" s="757"/>
      <c r="K140" s="739">
        <v>12912.69</v>
      </c>
      <c r="L140" s="735">
        <f t="shared" si="97"/>
        <v>0.00286043686735793</v>
      </c>
      <c r="M140" s="635"/>
      <c r="N140" s="758">
        <v>62.823</v>
      </c>
      <c r="O140" s="759">
        <v>59.542</v>
      </c>
      <c r="P140" s="760">
        <f t="shared" si="98"/>
        <v>246.3705</v>
      </c>
      <c r="Q140" s="761">
        <f t="shared" si="95"/>
        <v>0.024402054554333582</v>
      </c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718"/>
      <c r="BH140" s="718"/>
      <c r="BI140" s="774"/>
    </row>
    <row r="141" spans="1:61" ht="11.25" customHeight="1">
      <c r="A141" s="681">
        <v>52000</v>
      </c>
      <c r="B141" s="682" t="s">
        <v>139</v>
      </c>
      <c r="C141" s="731"/>
      <c r="D141" s="757"/>
      <c r="E141" s="738"/>
      <c r="F141" s="737"/>
      <c r="G141" s="739">
        <v>5683</v>
      </c>
      <c r="H141" s="737">
        <f t="shared" si="96"/>
        <v>0.0012519896374560315</v>
      </c>
      <c r="I141" s="757"/>
      <c r="J141" s="757"/>
      <c r="K141" s="739">
        <v>2375.04</v>
      </c>
      <c r="L141" s="735">
        <f t="shared" si="97"/>
        <v>0.0005261221308224528</v>
      </c>
      <c r="M141" s="635"/>
      <c r="N141" s="758">
        <v>13.423</v>
      </c>
      <c r="O141" s="759">
        <v>6.584</v>
      </c>
      <c r="P141" s="760">
        <f t="shared" si="98"/>
        <v>43.433499999999995</v>
      </c>
      <c r="Q141" s="761">
        <f t="shared" si="95"/>
        <v>0.0043019218473220105</v>
      </c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718"/>
      <c r="BH141" s="718"/>
      <c r="BI141" s="774"/>
    </row>
    <row r="142" spans="1:61" ht="11.25" customHeight="1">
      <c r="A142" s="681">
        <v>53000</v>
      </c>
      <c r="B142" s="682" t="s">
        <v>69</v>
      </c>
      <c r="C142" s="731"/>
      <c r="D142" s="757"/>
      <c r="E142" s="738"/>
      <c r="F142" s="737"/>
      <c r="G142" s="739">
        <v>1362</v>
      </c>
      <c r="H142" s="737">
        <f t="shared" si="96"/>
        <v>0.00030005452863190475</v>
      </c>
      <c r="I142" s="757"/>
      <c r="J142" s="757"/>
      <c r="K142" s="739">
        <v>10083.9</v>
      </c>
      <c r="L142" s="735">
        <f t="shared" si="97"/>
        <v>0.002233799411799604</v>
      </c>
      <c r="M142" s="635"/>
      <c r="N142" s="758">
        <v>6</v>
      </c>
      <c r="O142" s="759">
        <v>10.667</v>
      </c>
      <c r="P142" s="760">
        <f t="shared" si="98"/>
        <v>31.0005</v>
      </c>
      <c r="Q142" s="761">
        <f t="shared" si="95"/>
        <v>0.0030704808092349455</v>
      </c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718"/>
      <c r="BH142" s="718"/>
      <c r="BI142" s="774"/>
    </row>
    <row r="143" spans="1:61" ht="11.25" customHeight="1">
      <c r="A143" s="681">
        <v>54000</v>
      </c>
      <c r="B143" s="682" t="s">
        <v>140</v>
      </c>
      <c r="C143" s="731"/>
      <c r="D143" s="757"/>
      <c r="E143" s="738"/>
      <c r="F143" s="737"/>
      <c r="G143" s="739">
        <v>2750.25</v>
      </c>
      <c r="H143" s="737">
        <f t="shared" si="96"/>
        <v>0.0006058920465270897</v>
      </c>
      <c r="I143" s="757"/>
      <c r="J143" s="757"/>
      <c r="K143" s="739">
        <v>8198.01</v>
      </c>
      <c r="L143" s="735">
        <f t="shared" si="97"/>
        <v>0.0018160344624527486</v>
      </c>
      <c r="M143" s="635"/>
      <c r="N143" s="758">
        <v>21.978</v>
      </c>
      <c r="O143" s="759">
        <v>36.357</v>
      </c>
      <c r="P143" s="760">
        <f t="shared" si="98"/>
        <v>109.4805</v>
      </c>
      <c r="Q143" s="761">
        <f t="shared" si="95"/>
        <v>0.010843624271719698</v>
      </c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718"/>
      <c r="BH143" s="718"/>
      <c r="BI143" s="774"/>
    </row>
    <row r="144" spans="1:60" ht="11.25" customHeight="1">
      <c r="A144" s="681">
        <v>55000</v>
      </c>
      <c r="B144" s="682" t="s">
        <v>57</v>
      </c>
      <c r="C144" s="731"/>
      <c r="D144" s="757"/>
      <c r="E144" s="738"/>
      <c r="F144" s="737"/>
      <c r="G144" s="739">
        <v>431.25</v>
      </c>
      <c r="H144" s="737">
        <f t="shared" si="96"/>
        <v>9.500625218245884E-05</v>
      </c>
      <c r="I144" s="757"/>
      <c r="J144" s="757"/>
      <c r="K144" s="739">
        <v>12357.83</v>
      </c>
      <c r="L144" s="735">
        <f t="shared" si="97"/>
        <v>0.0027375235162109403</v>
      </c>
      <c r="M144" s="635"/>
      <c r="N144" s="758">
        <v>5.114</v>
      </c>
      <c r="O144" s="759">
        <v>10.533</v>
      </c>
      <c r="P144" s="760">
        <f t="shared" si="98"/>
        <v>28.5845</v>
      </c>
      <c r="Q144" s="761">
        <f t="shared" si="95"/>
        <v>0.002831185261256312</v>
      </c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718"/>
      <c r="BH144" s="718"/>
    </row>
    <row r="145" spans="1:60" ht="11.25" customHeight="1">
      <c r="A145" s="740">
        <v>56000</v>
      </c>
      <c r="B145" s="741" t="s">
        <v>141</v>
      </c>
      <c r="C145" s="742"/>
      <c r="D145" s="762"/>
      <c r="E145" s="748"/>
      <c r="F145" s="747"/>
      <c r="G145" s="749">
        <v>0</v>
      </c>
      <c r="H145" s="747">
        <f t="shared" si="96"/>
        <v>0</v>
      </c>
      <c r="I145" s="762"/>
      <c r="J145" s="762"/>
      <c r="K145" s="749">
        <v>5832.66</v>
      </c>
      <c r="L145" s="746">
        <f t="shared" si="97"/>
        <v>0.0012920588737717626</v>
      </c>
      <c r="M145" s="635"/>
      <c r="N145" s="763">
        <v>2.229</v>
      </c>
      <c r="O145" s="764">
        <v>5.273</v>
      </c>
      <c r="P145" s="765">
        <f t="shared" si="98"/>
        <v>13.482</v>
      </c>
      <c r="Q145" s="766">
        <f t="shared" si="95"/>
        <v>0.00133534047096355</v>
      </c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718"/>
      <c r="BH145" s="718"/>
    </row>
    <row r="146" spans="3:61" ht="9" customHeight="1">
      <c r="C146" s="636"/>
      <c r="D146" s="720"/>
      <c r="E146" s="774"/>
      <c r="G146" s="775"/>
      <c r="H146" s="775"/>
      <c r="I146" s="775"/>
      <c r="J146" s="775"/>
      <c r="K146" s="635"/>
      <c r="L146" s="635"/>
      <c r="M146" s="635"/>
      <c r="N146" s="775"/>
      <c r="O146" s="775"/>
      <c r="P146" s="775"/>
      <c r="Q146" s="776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718"/>
      <c r="BH146" s="718"/>
      <c r="BI146" s="777"/>
    </row>
    <row r="147" spans="1:61" ht="16.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718"/>
      <c r="BH147" s="718"/>
      <c r="BI147" s="777"/>
    </row>
    <row r="148" spans="1:61" ht="11.25" customHeight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718"/>
      <c r="BH148" s="718"/>
      <c r="BI148" s="777"/>
    </row>
    <row r="149" spans="1:61" ht="11.25" customHeight="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718"/>
      <c r="BH149" s="718"/>
      <c r="BI149" s="777"/>
    </row>
    <row r="150" spans="1:61" ht="11.25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718"/>
      <c r="BH150" s="718"/>
      <c r="BI150" s="777"/>
    </row>
    <row r="151" spans="1:61" ht="11.25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718"/>
      <c r="BH151" s="718"/>
      <c r="BI151" s="777"/>
    </row>
    <row r="152" spans="1:61" ht="11.25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718"/>
      <c r="BH152" s="718"/>
      <c r="BI152" s="777"/>
    </row>
    <row r="153" spans="1:61" ht="11.25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718"/>
      <c r="BH153" s="718"/>
      <c r="BI153" s="777"/>
    </row>
    <row r="154" spans="1:61" ht="11.25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718"/>
      <c r="BH154" s="718"/>
      <c r="BI154" s="777"/>
    </row>
    <row r="155" spans="1:61" ht="11.25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718"/>
      <c r="BH155" s="718"/>
      <c r="BI155" s="777"/>
    </row>
    <row r="156" spans="1:61" ht="11.25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718"/>
      <c r="BH156" s="718"/>
      <c r="BI156" s="777"/>
    </row>
    <row r="157" spans="1:61" ht="11.25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718"/>
      <c r="BH157" s="718"/>
      <c r="BI157" s="777"/>
    </row>
    <row r="158" spans="1:61" ht="11.25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718"/>
      <c r="BH158" s="718"/>
      <c r="BI158" s="777"/>
    </row>
    <row r="159" spans="1:61" ht="11.2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718"/>
      <c r="BH159" s="718"/>
      <c r="BI159" s="777"/>
    </row>
    <row r="160" spans="1:61" ht="11.2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718"/>
      <c r="BH160" s="718"/>
      <c r="BI160" s="777"/>
    </row>
    <row r="161" spans="1:61" ht="11.25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718"/>
      <c r="BH161" s="718"/>
      <c r="BI161" s="777"/>
    </row>
    <row r="162" spans="1:61" ht="11.25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718"/>
      <c r="BH162" s="718"/>
      <c r="BI162" s="777"/>
    </row>
    <row r="163" spans="1:61" ht="11.25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718"/>
      <c r="BH163" s="718"/>
      <c r="BI163" s="777"/>
    </row>
    <row r="164" spans="1:61" ht="11.25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718"/>
      <c r="BH164" s="718"/>
      <c r="BI164" s="777"/>
    </row>
    <row r="165" spans="1:61" ht="11.25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718"/>
      <c r="BH165" s="718"/>
      <c r="BI165" s="777"/>
    </row>
    <row r="166" spans="1:61" ht="11.25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718"/>
      <c r="BH166" s="718"/>
      <c r="BI166" s="777"/>
    </row>
    <row r="167" spans="1:61" ht="11.25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718"/>
      <c r="BH167" s="718"/>
      <c r="BI167" s="777"/>
    </row>
    <row r="168" spans="1:61" ht="11.25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718"/>
      <c r="BH168" s="718"/>
      <c r="BI168" s="777"/>
    </row>
    <row r="169" spans="1:61" ht="11.25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718"/>
      <c r="BH169" s="718"/>
      <c r="BI169" s="777"/>
    </row>
    <row r="170" spans="1:61" ht="11.2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718"/>
      <c r="BH170" s="718"/>
      <c r="BI170" s="777"/>
    </row>
    <row r="171" spans="1:61" ht="11.25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718"/>
      <c r="BH171" s="718"/>
      <c r="BI171" s="777"/>
    </row>
    <row r="172" spans="1:60" ht="11.2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718"/>
      <c r="BH172" s="718"/>
    </row>
    <row r="173" spans="1:60" ht="11.25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718"/>
      <c r="BH173" s="718"/>
    </row>
    <row r="174" spans="1:61" ht="9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776"/>
      <c r="AK174" s="776"/>
      <c r="AL174" s="776"/>
      <c r="AO174" s="776"/>
      <c r="AP174" s="718"/>
      <c r="AV174" s="718"/>
      <c r="AW174" s="718"/>
      <c r="AX174" s="718"/>
      <c r="BB174" s="776"/>
      <c r="BD174" s="776"/>
      <c r="BE174" s="776"/>
      <c r="BF174" s="718"/>
      <c r="BG174" s="718"/>
      <c r="BH174" s="718"/>
      <c r="BI174" s="778"/>
    </row>
    <row r="175" s="123" customFormat="1" ht="15"/>
    <row r="176" s="123" customFormat="1" ht="11.25" customHeight="1"/>
    <row r="177" s="123" customFormat="1" ht="11.25" customHeight="1"/>
    <row r="178" s="123" customFormat="1" ht="11.25" customHeight="1"/>
    <row r="179" s="123" customFormat="1" ht="11.25" customHeight="1"/>
    <row r="180" s="123" customFormat="1" ht="11.25" customHeight="1"/>
    <row r="181" s="123" customFormat="1" ht="11.25" customHeight="1"/>
    <row r="182" s="123" customFormat="1" ht="11.25" customHeight="1"/>
    <row r="183" s="123" customFormat="1" ht="11.25" customHeight="1"/>
    <row r="184" s="123" customFormat="1" ht="11.25" customHeight="1"/>
    <row r="185" s="123" customFormat="1" ht="11.25" customHeight="1"/>
    <row r="186" s="123" customFormat="1" ht="11.25" customHeight="1"/>
    <row r="187" s="123" customFormat="1" ht="11.25" customHeight="1"/>
    <row r="188" s="123" customFormat="1" ht="11.25" customHeight="1"/>
    <row r="189" s="123" customFormat="1" ht="11.25" customHeight="1"/>
    <row r="190" s="123" customFormat="1" ht="11.25" customHeight="1"/>
    <row r="191" s="123" customFormat="1" ht="11.25" customHeight="1"/>
    <row r="192" s="123" customFormat="1" ht="11.25" customHeight="1"/>
    <row r="193" s="123" customFormat="1" ht="11.25" customHeight="1"/>
    <row r="194" s="123" customFormat="1" ht="11.25" customHeight="1"/>
    <row r="195" s="123" customFormat="1" ht="11.25" customHeight="1"/>
    <row r="196" s="123" customFormat="1" ht="11.25" customHeight="1"/>
    <row r="197" s="123" customFormat="1" ht="11.25" customHeight="1"/>
    <row r="198" s="123" customFormat="1" ht="11.25" customHeight="1"/>
    <row r="199" s="123" customFormat="1" ht="11.25" customHeight="1"/>
    <row r="200" s="123" customFormat="1" ht="11.25" customHeight="1"/>
    <row r="201" s="123" customFormat="1" ht="11.25" customHeight="1"/>
    <row r="202" spans="7:60" ht="15">
      <c r="G202" s="779"/>
      <c r="H202" s="635"/>
      <c r="I202" s="635"/>
      <c r="J202" s="635"/>
      <c r="N202" s="775"/>
      <c r="O202" s="775"/>
      <c r="P202" s="775"/>
      <c r="Q202" s="776"/>
      <c r="V202" s="637"/>
      <c r="W202" s="637"/>
      <c r="X202" s="637"/>
      <c r="Y202" s="637"/>
      <c r="AI202" s="718"/>
      <c r="AJ202" s="718"/>
      <c r="AK202" s="718"/>
      <c r="AL202" s="718"/>
      <c r="AM202" s="718"/>
      <c r="AN202" s="718"/>
      <c r="AO202" s="718"/>
      <c r="AP202" s="718"/>
      <c r="BG202" s="718"/>
      <c r="BH202" s="718"/>
    </row>
  </sheetData>
  <sheetProtection/>
  <mergeCells count="40">
    <mergeCell ref="A6:B6"/>
    <mergeCell ref="A7:B7"/>
    <mergeCell ref="BE4:BF5"/>
    <mergeCell ref="R5:S5"/>
    <mergeCell ref="T5:U5"/>
    <mergeCell ref="V5:W5"/>
    <mergeCell ref="AA5:AB5"/>
    <mergeCell ref="AC5:AD5"/>
    <mergeCell ref="AI5:AJ5"/>
    <mergeCell ref="AK5:AL5"/>
    <mergeCell ref="AM5:AN5"/>
    <mergeCell ref="AG4:AH5"/>
    <mergeCell ref="AI4:AN4"/>
    <mergeCell ref="BA5:BB5"/>
    <mergeCell ref="AO4:AP5"/>
    <mergeCell ref="AQ4:AV4"/>
    <mergeCell ref="AW4:AX5"/>
    <mergeCell ref="AY4:BD4"/>
    <mergeCell ref="AQ5:AR5"/>
    <mergeCell ref="AS5:AT5"/>
    <mergeCell ref="AU5:AV5"/>
    <mergeCell ref="AY5:AZ5"/>
    <mergeCell ref="BC5:BD5"/>
    <mergeCell ref="K4:L5"/>
    <mergeCell ref="N4:P4"/>
    <mergeCell ref="Q4:Q5"/>
    <mergeCell ref="R4:W4"/>
    <mergeCell ref="X4:Y5"/>
    <mergeCell ref="AA4:AF4"/>
    <mergeCell ref="AE5:AF5"/>
    <mergeCell ref="A3:B5"/>
    <mergeCell ref="C3:L3"/>
    <mergeCell ref="N3:Y3"/>
    <mergeCell ref="AA3:BF3"/>
    <mergeCell ref="BH3:BH5"/>
    <mergeCell ref="BI3:BI5"/>
    <mergeCell ref="C4:D5"/>
    <mergeCell ref="I4:J5"/>
    <mergeCell ref="E4:F5"/>
    <mergeCell ref="G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46" r:id="rId3"/>
  <ignoredErrors>
    <ignoredError sqref="BI2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E53"/>
  <sheetViews>
    <sheetView zoomScale="87" zoomScaleNormal="87" workbookViewId="0" topLeftCell="A1">
      <selection activeCell="G1" sqref="A1:G1"/>
    </sheetView>
  </sheetViews>
  <sheetFormatPr defaultColWidth="9.140625" defaultRowHeight="12.75"/>
  <cols>
    <col min="1" max="1" width="9.28125" style="436" bestFit="1" customWidth="1"/>
    <col min="2" max="2" width="61.140625" style="436" customWidth="1"/>
    <col min="3" max="3" width="11.421875" style="436" customWidth="1"/>
    <col min="4" max="4" width="11.57421875" style="436" customWidth="1"/>
    <col min="5" max="5" width="13.28125" style="436" customWidth="1"/>
    <col min="6" max="16384" width="9.140625" style="436" customWidth="1"/>
  </cols>
  <sheetData>
    <row r="1" spans="1:5" ht="19.5">
      <c r="A1" s="1178" t="s">
        <v>402</v>
      </c>
      <c r="B1" s="1178"/>
      <c r="C1" s="1178"/>
      <c r="D1" s="1178"/>
      <c r="E1" s="1178"/>
    </row>
    <row r="2" spans="1:5" ht="19.5">
      <c r="A2" s="433"/>
      <c r="B2" s="433"/>
      <c r="C2" s="433"/>
      <c r="D2" s="433"/>
      <c r="E2" s="433"/>
    </row>
    <row r="3" spans="1:5" ht="19.5">
      <c r="A3" s="433" t="s">
        <v>403</v>
      </c>
      <c r="B3" s="433"/>
      <c r="C3" s="433"/>
      <c r="D3" s="433"/>
      <c r="E3" s="433"/>
    </row>
    <row r="4" spans="1:5" ht="15.75" customHeight="1">
      <c r="A4" s="434"/>
      <c r="B4" s="434"/>
      <c r="C4" s="434"/>
      <c r="D4" s="434"/>
      <c r="E4" s="434"/>
    </row>
    <row r="5" spans="1:5" ht="14.25">
      <c r="A5" s="435" t="s">
        <v>241</v>
      </c>
      <c r="D5" s="471"/>
      <c r="E5" s="471"/>
    </row>
    <row r="6" spans="1:5" ht="15" thickBot="1">
      <c r="A6" s="437"/>
      <c r="B6" s="437"/>
      <c r="C6" s="437"/>
      <c r="D6" s="437"/>
      <c r="E6" s="438"/>
    </row>
    <row r="7" spans="1:5" ht="26.25" thickBot="1">
      <c r="A7" s="439" t="s">
        <v>94</v>
      </c>
      <c r="B7" s="570" t="s">
        <v>15</v>
      </c>
      <c r="C7" s="571"/>
      <c r="D7" s="440" t="s">
        <v>242</v>
      </c>
      <c r="E7" s="578" t="s">
        <v>108</v>
      </c>
    </row>
    <row r="8" spans="1:5" ht="12.75" customHeight="1">
      <c r="A8" s="442">
        <v>11000</v>
      </c>
      <c r="B8" s="572" t="s">
        <v>243</v>
      </c>
      <c r="C8" s="573"/>
      <c r="D8" s="549">
        <v>3162</v>
      </c>
      <c r="E8" s="565">
        <f>ROUND(D8*$E$37/$D$34,0)</f>
        <v>284580</v>
      </c>
    </row>
    <row r="9" spans="1:5" ht="12.75" customHeight="1">
      <c r="A9" s="442">
        <v>12000</v>
      </c>
      <c r="B9" s="572" t="s">
        <v>244</v>
      </c>
      <c r="C9" s="573"/>
      <c r="D9" s="549">
        <v>360</v>
      </c>
      <c r="E9" s="566">
        <f aca="true" t="shared" si="0" ref="E9:E33">ROUND(D9*$E$37/$D$34,0)</f>
        <v>32400</v>
      </c>
    </row>
    <row r="10" spans="1:5" ht="12.75" customHeight="1">
      <c r="A10" s="442">
        <v>13000</v>
      </c>
      <c r="B10" s="572" t="s">
        <v>245</v>
      </c>
      <c r="C10" s="573"/>
      <c r="D10" s="549">
        <v>74</v>
      </c>
      <c r="E10" s="566">
        <f t="shared" si="0"/>
        <v>6660</v>
      </c>
    </row>
    <row r="11" spans="1:5" ht="12.75" customHeight="1">
      <c r="A11" s="442">
        <v>14000</v>
      </c>
      <c r="B11" s="572" t="s">
        <v>246</v>
      </c>
      <c r="C11" s="573"/>
      <c r="D11" s="549">
        <v>1850</v>
      </c>
      <c r="E11" s="566">
        <f t="shared" si="0"/>
        <v>166500</v>
      </c>
    </row>
    <row r="12" spans="1:5" ht="12.75" customHeight="1">
      <c r="A12" s="442">
        <v>15000</v>
      </c>
      <c r="B12" s="572" t="s">
        <v>247</v>
      </c>
      <c r="C12" s="573"/>
      <c r="D12" s="549">
        <v>758</v>
      </c>
      <c r="E12" s="566">
        <f t="shared" si="0"/>
        <v>68220</v>
      </c>
    </row>
    <row r="13" spans="1:5" ht="12.75" customHeight="1">
      <c r="A13" s="442">
        <v>16000</v>
      </c>
      <c r="B13" s="572" t="s">
        <v>248</v>
      </c>
      <c r="C13" s="573"/>
      <c r="D13" s="549">
        <v>152</v>
      </c>
      <c r="E13" s="566">
        <f t="shared" si="0"/>
        <v>13680</v>
      </c>
    </row>
    <row r="14" spans="1:5" ht="12.75" customHeight="1">
      <c r="A14" s="442">
        <v>17000</v>
      </c>
      <c r="B14" s="572" t="s">
        <v>249</v>
      </c>
      <c r="C14" s="573"/>
      <c r="D14" s="549">
        <v>174</v>
      </c>
      <c r="E14" s="566">
        <f t="shared" si="0"/>
        <v>15660</v>
      </c>
    </row>
    <row r="15" spans="1:5" ht="12.75" customHeight="1">
      <c r="A15" s="442">
        <v>18000</v>
      </c>
      <c r="B15" s="572" t="s">
        <v>42</v>
      </c>
      <c r="C15" s="573"/>
      <c r="D15" s="549">
        <v>76</v>
      </c>
      <c r="E15" s="566">
        <f t="shared" si="0"/>
        <v>6840</v>
      </c>
    </row>
    <row r="16" spans="1:5" ht="12.75" customHeight="1">
      <c r="A16" s="442">
        <v>19000</v>
      </c>
      <c r="B16" s="572" t="s">
        <v>250</v>
      </c>
      <c r="C16" s="573"/>
      <c r="D16" s="549">
        <v>54</v>
      </c>
      <c r="E16" s="566">
        <f t="shared" si="0"/>
        <v>4860</v>
      </c>
    </row>
    <row r="17" spans="1:5" ht="12.75" customHeight="1">
      <c r="A17" s="442">
        <v>21000</v>
      </c>
      <c r="B17" s="572" t="s">
        <v>251</v>
      </c>
      <c r="C17" s="573"/>
      <c r="D17" s="549">
        <v>1124</v>
      </c>
      <c r="E17" s="566">
        <f t="shared" si="0"/>
        <v>101160</v>
      </c>
    </row>
    <row r="18" spans="1:5" ht="12.75" customHeight="1">
      <c r="A18" s="442">
        <v>22000</v>
      </c>
      <c r="B18" s="572" t="s">
        <v>252</v>
      </c>
      <c r="C18" s="573"/>
      <c r="D18" s="549">
        <v>468</v>
      </c>
      <c r="E18" s="566">
        <f t="shared" si="0"/>
        <v>42120</v>
      </c>
    </row>
    <row r="19" spans="1:5" ht="12.75" customHeight="1">
      <c r="A19" s="442">
        <v>23000</v>
      </c>
      <c r="B19" s="572" t="s">
        <v>253</v>
      </c>
      <c r="C19" s="573"/>
      <c r="D19" s="549">
        <v>363</v>
      </c>
      <c r="E19" s="566">
        <f t="shared" si="0"/>
        <v>32670</v>
      </c>
    </row>
    <row r="20" spans="1:5" ht="12.75" customHeight="1">
      <c r="A20" s="442">
        <v>24000</v>
      </c>
      <c r="B20" s="572" t="s">
        <v>254</v>
      </c>
      <c r="C20" s="573"/>
      <c r="D20" s="549">
        <v>183</v>
      </c>
      <c r="E20" s="566">
        <f t="shared" si="0"/>
        <v>16470</v>
      </c>
    </row>
    <row r="21" spans="1:5" ht="12.75" customHeight="1">
      <c r="A21" s="442">
        <v>25000</v>
      </c>
      <c r="B21" s="572" t="s">
        <v>255</v>
      </c>
      <c r="C21" s="573"/>
      <c r="D21" s="549">
        <v>235</v>
      </c>
      <c r="E21" s="566">
        <f t="shared" si="0"/>
        <v>21150</v>
      </c>
    </row>
    <row r="22" spans="1:5" ht="12.75" customHeight="1">
      <c r="A22" s="442">
        <v>26000</v>
      </c>
      <c r="B22" s="572" t="s">
        <v>256</v>
      </c>
      <c r="C22" s="573"/>
      <c r="D22" s="549">
        <v>1070</v>
      </c>
      <c r="E22" s="566">
        <f t="shared" si="0"/>
        <v>96300</v>
      </c>
    </row>
    <row r="23" spans="1:5" ht="12.75" customHeight="1">
      <c r="A23" s="442">
        <v>27000</v>
      </c>
      <c r="B23" s="572" t="s">
        <v>257</v>
      </c>
      <c r="C23" s="573"/>
      <c r="D23" s="549">
        <v>556</v>
      </c>
      <c r="E23" s="566">
        <f t="shared" si="0"/>
        <v>50040</v>
      </c>
    </row>
    <row r="24" spans="1:5" ht="12.75" customHeight="1">
      <c r="A24" s="442">
        <v>28000</v>
      </c>
      <c r="B24" s="572" t="s">
        <v>258</v>
      </c>
      <c r="C24" s="573"/>
      <c r="D24" s="549">
        <v>188</v>
      </c>
      <c r="E24" s="566">
        <f t="shared" si="0"/>
        <v>16920</v>
      </c>
    </row>
    <row r="25" spans="1:5" ht="12.75" customHeight="1">
      <c r="A25" s="442">
        <v>31000</v>
      </c>
      <c r="B25" s="572" t="s">
        <v>259</v>
      </c>
      <c r="C25" s="573"/>
      <c r="D25" s="549">
        <v>299</v>
      </c>
      <c r="E25" s="566">
        <f t="shared" si="0"/>
        <v>26910</v>
      </c>
    </row>
    <row r="26" spans="1:5" ht="12.75" customHeight="1">
      <c r="A26" s="442">
        <v>41000</v>
      </c>
      <c r="B26" s="572" t="s">
        <v>260</v>
      </c>
      <c r="C26" s="573"/>
      <c r="D26" s="549">
        <v>516</v>
      </c>
      <c r="E26" s="566">
        <f t="shared" si="0"/>
        <v>46440</v>
      </c>
    </row>
    <row r="27" spans="1:5" ht="12.75" customHeight="1">
      <c r="A27" s="442">
        <v>43000</v>
      </c>
      <c r="B27" s="572" t="s">
        <v>261</v>
      </c>
      <c r="C27" s="573"/>
      <c r="D27" s="549">
        <v>356</v>
      </c>
      <c r="E27" s="566">
        <f t="shared" si="0"/>
        <v>32040</v>
      </c>
    </row>
    <row r="28" spans="1:5" ht="12.75" customHeight="1">
      <c r="A28" s="442">
        <v>51000</v>
      </c>
      <c r="B28" s="572" t="s">
        <v>262</v>
      </c>
      <c r="C28" s="573"/>
      <c r="D28" s="549">
        <v>54</v>
      </c>
      <c r="E28" s="566">
        <f t="shared" si="0"/>
        <v>4860</v>
      </c>
    </row>
    <row r="29" spans="1:5" ht="12.75" customHeight="1">
      <c r="A29" s="442">
        <v>52000</v>
      </c>
      <c r="B29" s="572" t="s">
        <v>263</v>
      </c>
      <c r="C29" s="573"/>
      <c r="D29" s="549">
        <v>17</v>
      </c>
      <c r="E29" s="566">
        <f t="shared" si="0"/>
        <v>1530</v>
      </c>
    </row>
    <row r="30" spans="1:5" ht="12.75" customHeight="1">
      <c r="A30" s="442">
        <v>53000</v>
      </c>
      <c r="B30" s="572" t="s">
        <v>264</v>
      </c>
      <c r="C30" s="573"/>
      <c r="D30" s="549">
        <v>20</v>
      </c>
      <c r="E30" s="566">
        <f t="shared" si="0"/>
        <v>1800</v>
      </c>
    </row>
    <row r="31" spans="1:5" ht="12.75" customHeight="1">
      <c r="A31" s="442">
        <v>54000</v>
      </c>
      <c r="B31" s="572" t="s">
        <v>265</v>
      </c>
      <c r="C31" s="573"/>
      <c r="D31" s="549">
        <v>32</v>
      </c>
      <c r="E31" s="566">
        <f t="shared" si="0"/>
        <v>2880</v>
      </c>
    </row>
    <row r="32" spans="1:5" ht="12.75" customHeight="1">
      <c r="A32" s="442">
        <v>55000</v>
      </c>
      <c r="B32" s="572" t="s">
        <v>266</v>
      </c>
      <c r="C32" s="573"/>
      <c r="D32" s="549">
        <v>0</v>
      </c>
      <c r="E32" s="566">
        <f t="shared" si="0"/>
        <v>0</v>
      </c>
    </row>
    <row r="33" spans="1:5" ht="12.75" customHeight="1" thickBot="1">
      <c r="A33" s="444">
        <v>56000</v>
      </c>
      <c r="B33" s="574" t="s">
        <v>267</v>
      </c>
      <c r="C33" s="575"/>
      <c r="D33" s="564">
        <v>0</v>
      </c>
      <c r="E33" s="567">
        <f t="shared" si="0"/>
        <v>0</v>
      </c>
    </row>
    <row r="34" spans="1:5" ht="15" thickBot="1">
      <c r="A34" s="445" t="s">
        <v>33</v>
      </c>
      <c r="B34" s="576"/>
      <c r="C34" s="577"/>
      <c r="D34" s="447">
        <f>SUM(D8:D33)</f>
        <v>12141</v>
      </c>
      <c r="E34" s="568">
        <f>SUM(E8:E33)</f>
        <v>1092690</v>
      </c>
    </row>
    <row r="35" s="561" customFormat="1" ht="13.5" thickBot="1"/>
    <row r="36" spans="1:5" ht="15" thickBot="1">
      <c r="A36" s="582" t="s">
        <v>268</v>
      </c>
      <c r="B36" s="569"/>
      <c r="C36" s="569"/>
      <c r="D36" s="449"/>
      <c r="E36" s="450">
        <v>1092690</v>
      </c>
    </row>
    <row r="37" spans="1:5" ht="15" thickBot="1">
      <c r="A37" s="582" t="s">
        <v>460</v>
      </c>
      <c r="B37" s="569"/>
      <c r="C37" s="569"/>
      <c r="D37" s="449"/>
      <c r="E37" s="451">
        <v>1092690</v>
      </c>
    </row>
    <row r="38" spans="1:5" ht="15" thickBot="1">
      <c r="A38" s="437"/>
      <c r="B38" s="437"/>
      <c r="C38" s="437"/>
      <c r="D38" s="437"/>
      <c r="E38" s="437"/>
    </row>
    <row r="39" spans="1:5" s="588" customFormat="1" ht="15.75" thickBot="1">
      <c r="A39" s="1179" t="s">
        <v>269</v>
      </c>
      <c r="B39" s="1180"/>
      <c r="C39" s="579">
        <v>2010</v>
      </c>
      <c r="D39" s="579">
        <v>2011</v>
      </c>
      <c r="E39" s="580">
        <v>2012</v>
      </c>
    </row>
    <row r="40" spans="1:5" ht="12.75" customHeight="1">
      <c r="A40" s="454" t="s">
        <v>270</v>
      </c>
      <c r="B40" s="455"/>
      <c r="C40" s="456">
        <v>93380</v>
      </c>
      <c r="D40" s="456">
        <v>89428.80162836061</v>
      </c>
      <c r="E40" s="511">
        <v>83041.32025274361</v>
      </c>
    </row>
    <row r="41" spans="1:5" ht="12.75" customHeight="1">
      <c r="A41" s="458" t="s">
        <v>271</v>
      </c>
      <c r="B41" s="459"/>
      <c r="C41" s="460"/>
      <c r="D41" s="460">
        <f>D40/C40-1</f>
        <v>-0.04231311171170904</v>
      </c>
      <c r="E41" s="461">
        <f>E40/D40-1</f>
        <v>-0.07142532673267243</v>
      </c>
    </row>
    <row r="42" spans="1:5" ht="12.75" customHeight="1">
      <c r="A42" s="462" t="s">
        <v>272</v>
      </c>
      <c r="B42" s="463"/>
      <c r="C42" s="464">
        <v>10851</v>
      </c>
      <c r="D42" s="464">
        <v>11791</v>
      </c>
      <c r="E42" s="465">
        <v>12028</v>
      </c>
    </row>
    <row r="43" spans="1:5" ht="12.75" customHeight="1" thickBot="1">
      <c r="A43" s="466" t="s">
        <v>273</v>
      </c>
      <c r="B43" s="467"/>
      <c r="C43" s="468"/>
      <c r="D43" s="468">
        <f>D42/C42-1</f>
        <v>0.08662796055663069</v>
      </c>
      <c r="E43" s="469">
        <f>E42/D42-1</f>
        <v>0.020100076329403693</v>
      </c>
    </row>
    <row r="44" spans="1:5" ht="15" thickBot="1">
      <c r="A44" s="437"/>
      <c r="B44" s="437"/>
      <c r="C44" s="437"/>
      <c r="D44" s="437"/>
      <c r="E44" s="437"/>
    </row>
    <row r="45" spans="1:5" s="588" customFormat="1" ht="15.75" thickBot="1">
      <c r="A45" s="1179" t="s">
        <v>269</v>
      </c>
      <c r="B45" s="1181"/>
      <c r="C45" s="581">
        <v>2013</v>
      </c>
      <c r="D45" s="581">
        <v>2014</v>
      </c>
      <c r="E45" s="580"/>
    </row>
    <row r="46" spans="1:5" ht="14.25">
      <c r="A46" s="509" t="s">
        <v>270</v>
      </c>
      <c r="B46" s="510"/>
      <c r="C46" s="456">
        <v>90000</v>
      </c>
      <c r="D46" s="456">
        <v>90000</v>
      </c>
      <c r="E46" s="457"/>
    </row>
    <row r="47" spans="1:5" ht="14.25">
      <c r="A47" s="583" t="s">
        <v>271</v>
      </c>
      <c r="B47" s="584"/>
      <c r="C47" s="460">
        <f>C46/E40-1</f>
        <v>0.08379779760337436</v>
      </c>
      <c r="D47" s="460">
        <f>D46/C46-1</f>
        <v>0</v>
      </c>
      <c r="E47" s="461"/>
    </row>
    <row r="48" spans="1:5" ht="14.25">
      <c r="A48" s="585" t="s">
        <v>272</v>
      </c>
      <c r="B48" s="516"/>
      <c r="C48" s="464">
        <v>12045</v>
      </c>
      <c r="D48" s="464">
        <f>D34</f>
        <v>12141</v>
      </c>
      <c r="E48" s="465"/>
    </row>
    <row r="49" spans="1:5" ht="15" thickBot="1">
      <c r="A49" s="586" t="s">
        <v>273</v>
      </c>
      <c r="B49" s="587"/>
      <c r="C49" s="468">
        <f>C48/E42-1</f>
        <v>0.0014133688061190863</v>
      </c>
      <c r="D49" s="468">
        <f>D48/C48-1</f>
        <v>0.007970112079701108</v>
      </c>
      <c r="E49" s="469"/>
    </row>
    <row r="50" spans="1:5" ht="14.25">
      <c r="A50" s="437"/>
      <c r="B50" s="437"/>
      <c r="C50" s="437"/>
      <c r="D50" s="437"/>
      <c r="E50" s="437"/>
    </row>
    <row r="51" spans="1:5" ht="14.25">
      <c r="A51" s="437"/>
      <c r="B51" s="437"/>
      <c r="C51" s="437"/>
      <c r="D51" s="437"/>
      <c r="E51" s="437"/>
    </row>
    <row r="52" spans="1:5" ht="14.25">
      <c r="A52" s="437"/>
      <c r="B52" s="437"/>
      <c r="C52" s="437"/>
      <c r="D52" s="437"/>
      <c r="E52" s="437"/>
    </row>
    <row r="53" spans="1:5" ht="14.25">
      <c r="A53" s="437"/>
      <c r="B53" s="437"/>
      <c r="C53" s="437"/>
      <c r="D53" s="437"/>
      <c r="E53" s="437"/>
    </row>
  </sheetData>
  <sheetProtection/>
  <mergeCells count="3">
    <mergeCell ref="A1:E1"/>
    <mergeCell ref="A39:B39"/>
    <mergeCell ref="A45:B45"/>
  </mergeCells>
  <printOptions horizontalCentered="1"/>
  <pageMargins left="0.5118110236220472" right="0.5118110236220472" top="0.6299212598425197" bottom="0.7874015748031497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G38" sqref="G38"/>
    </sheetView>
  </sheetViews>
  <sheetFormatPr defaultColWidth="9.140625" defaultRowHeight="12.75"/>
  <cols>
    <col min="1" max="1" width="7.421875" style="471" customWidth="1"/>
    <col min="2" max="2" width="44.421875" style="593" customWidth="1"/>
    <col min="3" max="3" width="10.140625" style="471" customWidth="1"/>
    <col min="4" max="4" width="10.421875" style="471" customWidth="1"/>
    <col min="5" max="5" width="10.8515625" style="471" customWidth="1"/>
    <col min="6" max="6" width="10.57421875" style="471" customWidth="1"/>
    <col min="7" max="16384" width="9.140625" style="471" customWidth="1"/>
  </cols>
  <sheetData>
    <row r="1" spans="1:6" ht="20.25">
      <c r="A1" s="1182" t="s">
        <v>400</v>
      </c>
      <c r="B1" s="1182"/>
      <c r="C1" s="1182"/>
      <c r="D1" s="1182"/>
      <c r="E1" s="1182"/>
      <c r="F1" s="470"/>
    </row>
    <row r="2" spans="1:6" ht="20.25">
      <c r="A2" s="563"/>
      <c r="B2" s="563"/>
      <c r="C2" s="563"/>
      <c r="D2" s="563"/>
      <c r="E2" s="563"/>
      <c r="F2" s="470"/>
    </row>
    <row r="3" spans="1:6" ht="36.75" customHeight="1">
      <c r="A3" s="1191" t="s">
        <v>401</v>
      </c>
      <c r="B3" s="1191"/>
      <c r="C3" s="1191"/>
      <c r="D3" s="1191"/>
      <c r="E3" s="1191"/>
      <c r="F3" s="470"/>
    </row>
    <row r="4" ht="14.25">
      <c r="B4" s="471"/>
    </row>
    <row r="5" spans="1:5" s="476" customFormat="1" ht="12.75">
      <c r="A5" s="472" t="s">
        <v>274</v>
      </c>
      <c r="B5" s="473"/>
      <c r="C5" s="473"/>
      <c r="D5" s="474"/>
      <c r="E5" s="475">
        <v>22000</v>
      </c>
    </row>
    <row r="6" spans="1:5" s="476" customFormat="1" ht="12.75">
      <c r="A6" s="472" t="s">
        <v>275</v>
      </c>
      <c r="B6" s="473"/>
      <c r="C6" s="473"/>
      <c r="D6" s="474"/>
      <c r="E6" s="477">
        <f>E5*1000/D37</f>
        <v>29.707150689413844</v>
      </c>
    </row>
    <row r="7" spans="1:5" s="476" customFormat="1" ht="12.75">
      <c r="A7" s="478"/>
      <c r="B7" s="478"/>
      <c r="C7" s="478"/>
      <c r="D7" s="478"/>
      <c r="E7" s="479"/>
    </row>
    <row r="8" s="476" customFormat="1" ht="13.5" thickBot="1"/>
    <row r="9" spans="1:5" s="476" customFormat="1" ht="18.75" customHeight="1">
      <c r="A9" s="1183" t="s">
        <v>276</v>
      </c>
      <c r="B9" s="1185" t="s">
        <v>277</v>
      </c>
      <c r="C9" s="1187" t="s">
        <v>278</v>
      </c>
      <c r="D9" s="1188"/>
      <c r="E9" s="1189" t="s">
        <v>279</v>
      </c>
    </row>
    <row r="10" spans="1:5" s="476" customFormat="1" ht="50.25" customHeight="1" thickBot="1">
      <c r="A10" s="1184"/>
      <c r="B10" s="1186"/>
      <c r="C10" s="480" t="s">
        <v>280</v>
      </c>
      <c r="D10" s="481" t="s">
        <v>281</v>
      </c>
      <c r="E10" s="1190"/>
    </row>
    <row r="11" spans="1:7" s="476" customFormat="1" ht="12.75">
      <c r="A11" s="482" t="s">
        <v>282</v>
      </c>
      <c r="B11" s="483" t="s">
        <v>243</v>
      </c>
      <c r="C11" s="484">
        <v>5655</v>
      </c>
      <c r="D11" s="485">
        <v>129746.4</v>
      </c>
      <c r="E11" s="486">
        <f aca="true" t="shared" si="0" ref="E11:E30">ROUND(E$5/D$37*D11,0)</f>
        <v>3854</v>
      </c>
      <c r="G11" s="487"/>
    </row>
    <row r="12" spans="1:7" s="476" customFormat="1" ht="12.75">
      <c r="A12" s="488" t="s">
        <v>283</v>
      </c>
      <c r="B12" s="489" t="s">
        <v>244</v>
      </c>
      <c r="C12" s="490">
        <v>1378</v>
      </c>
      <c r="D12" s="491">
        <v>45138.08</v>
      </c>
      <c r="E12" s="486">
        <f t="shared" si="0"/>
        <v>1341</v>
      </c>
      <c r="G12" s="492"/>
    </row>
    <row r="13" spans="1:7" s="476" customFormat="1" ht="12.75">
      <c r="A13" s="488" t="s">
        <v>284</v>
      </c>
      <c r="B13" s="489" t="s">
        <v>285</v>
      </c>
      <c r="C13" s="490">
        <v>1838</v>
      </c>
      <c r="D13" s="491">
        <v>28940</v>
      </c>
      <c r="E13" s="486">
        <f t="shared" si="0"/>
        <v>860</v>
      </c>
      <c r="G13" s="492"/>
    </row>
    <row r="14" spans="1:7" s="476" customFormat="1" ht="12.75">
      <c r="A14" s="488" t="s">
        <v>286</v>
      </c>
      <c r="B14" s="489" t="s">
        <v>246</v>
      </c>
      <c r="C14" s="490">
        <v>3956</v>
      </c>
      <c r="D14" s="491">
        <v>57152.64</v>
      </c>
      <c r="E14" s="486">
        <f t="shared" si="0"/>
        <v>1698</v>
      </c>
      <c r="G14" s="492"/>
    </row>
    <row r="15" spans="1:7" s="476" customFormat="1" ht="12.75">
      <c r="A15" s="488" t="s">
        <v>287</v>
      </c>
      <c r="B15" s="489" t="s">
        <v>247</v>
      </c>
      <c r="C15" s="490">
        <v>2039</v>
      </c>
      <c r="D15" s="491">
        <v>26562.72</v>
      </c>
      <c r="E15" s="486">
        <f t="shared" si="0"/>
        <v>789</v>
      </c>
      <c r="G15" s="492"/>
    </row>
    <row r="16" spans="1:7" s="476" customFormat="1" ht="12.75">
      <c r="A16" s="488" t="s">
        <v>288</v>
      </c>
      <c r="B16" s="489" t="s">
        <v>248</v>
      </c>
      <c r="C16" s="490">
        <v>686</v>
      </c>
      <c r="D16" s="491">
        <v>5784</v>
      </c>
      <c r="E16" s="486">
        <f t="shared" si="0"/>
        <v>172</v>
      </c>
      <c r="G16" s="492"/>
    </row>
    <row r="17" spans="1:7" s="476" customFormat="1" ht="12.75">
      <c r="A17" s="488" t="s">
        <v>289</v>
      </c>
      <c r="B17" s="489" t="s">
        <v>249</v>
      </c>
      <c r="C17" s="490">
        <v>805</v>
      </c>
      <c r="D17" s="491">
        <v>31494.56</v>
      </c>
      <c r="E17" s="486">
        <f t="shared" si="0"/>
        <v>936</v>
      </c>
      <c r="G17" s="492"/>
    </row>
    <row r="18" spans="1:7" s="476" customFormat="1" ht="12.75">
      <c r="A18" s="488" t="s">
        <v>290</v>
      </c>
      <c r="B18" s="489" t="s">
        <v>42</v>
      </c>
      <c r="C18" s="490">
        <v>933</v>
      </c>
      <c r="D18" s="491">
        <v>12416.64</v>
      </c>
      <c r="E18" s="486">
        <f t="shared" si="0"/>
        <v>369</v>
      </c>
      <c r="G18" s="492"/>
    </row>
    <row r="19" spans="1:7" s="476" customFormat="1" ht="12.75">
      <c r="A19" s="488" t="s">
        <v>291</v>
      </c>
      <c r="B19" s="489" t="s">
        <v>250</v>
      </c>
      <c r="C19" s="490">
        <v>943</v>
      </c>
      <c r="D19" s="491">
        <v>21558.08</v>
      </c>
      <c r="E19" s="486">
        <f t="shared" si="0"/>
        <v>640</v>
      </c>
      <c r="G19" s="492"/>
    </row>
    <row r="20" spans="1:7" s="476" customFormat="1" ht="12.75">
      <c r="A20" s="488" t="s">
        <v>292</v>
      </c>
      <c r="B20" s="489" t="s">
        <v>251</v>
      </c>
      <c r="C20" s="490">
        <v>1379</v>
      </c>
      <c r="D20" s="491">
        <v>35678.8</v>
      </c>
      <c r="E20" s="486">
        <f t="shared" si="0"/>
        <v>1060</v>
      </c>
      <c r="G20" s="492"/>
    </row>
    <row r="21" spans="1:7" s="476" customFormat="1" ht="12.75">
      <c r="A21" s="488" t="s">
        <v>293</v>
      </c>
      <c r="B21" s="489" t="s">
        <v>294</v>
      </c>
      <c r="C21" s="490">
        <v>473</v>
      </c>
      <c r="D21" s="491">
        <v>17322.24</v>
      </c>
      <c r="E21" s="486">
        <f t="shared" si="0"/>
        <v>515</v>
      </c>
      <c r="G21" s="492"/>
    </row>
    <row r="22" spans="1:7" s="476" customFormat="1" ht="12.75">
      <c r="A22" s="488" t="s">
        <v>295</v>
      </c>
      <c r="B22" s="489" t="s">
        <v>253</v>
      </c>
      <c r="C22" s="490">
        <v>2716</v>
      </c>
      <c r="D22" s="491">
        <v>36968.08</v>
      </c>
      <c r="E22" s="486">
        <f t="shared" si="0"/>
        <v>1098</v>
      </c>
      <c r="G22" s="492"/>
    </row>
    <row r="23" spans="1:7" s="476" customFormat="1" ht="12.75">
      <c r="A23" s="488" t="s">
        <v>296</v>
      </c>
      <c r="B23" s="489" t="s">
        <v>254</v>
      </c>
      <c r="C23" s="490">
        <v>925</v>
      </c>
      <c r="D23" s="491">
        <v>26450.88</v>
      </c>
      <c r="E23" s="486">
        <f t="shared" si="0"/>
        <v>786</v>
      </c>
      <c r="G23" s="492"/>
    </row>
    <row r="24" spans="1:7" s="476" customFormat="1" ht="12.75">
      <c r="A24" s="488" t="s">
        <v>297</v>
      </c>
      <c r="B24" s="489" t="s">
        <v>255</v>
      </c>
      <c r="C24" s="490">
        <v>304</v>
      </c>
      <c r="D24" s="491">
        <v>8202</v>
      </c>
      <c r="E24" s="486">
        <f t="shared" si="0"/>
        <v>244</v>
      </c>
      <c r="G24" s="492"/>
    </row>
    <row r="25" spans="1:7" s="476" customFormat="1" ht="12.75">
      <c r="A25" s="488" t="s">
        <v>298</v>
      </c>
      <c r="B25" s="489" t="s">
        <v>256</v>
      </c>
      <c r="C25" s="490">
        <v>2340</v>
      </c>
      <c r="D25" s="491">
        <v>40160.16</v>
      </c>
      <c r="E25" s="486">
        <f t="shared" si="0"/>
        <v>1193</v>
      </c>
      <c r="G25" s="492"/>
    </row>
    <row r="26" spans="1:7" s="476" customFormat="1" ht="12.75">
      <c r="A26" s="488" t="s">
        <v>299</v>
      </c>
      <c r="B26" s="489" t="s">
        <v>300</v>
      </c>
      <c r="C26" s="490">
        <v>883</v>
      </c>
      <c r="D26" s="491">
        <v>17719.64</v>
      </c>
      <c r="E26" s="486">
        <f t="shared" si="0"/>
        <v>526</v>
      </c>
      <c r="G26" s="492"/>
    </row>
    <row r="27" spans="1:7" s="476" customFormat="1" ht="12.75">
      <c r="A27" s="488" t="s">
        <v>301</v>
      </c>
      <c r="B27" s="489" t="s">
        <v>258</v>
      </c>
      <c r="C27" s="490">
        <v>1287</v>
      </c>
      <c r="D27" s="491">
        <v>20278.08</v>
      </c>
      <c r="E27" s="486">
        <f t="shared" si="0"/>
        <v>602</v>
      </c>
      <c r="G27" s="492"/>
    </row>
    <row r="28" spans="1:7" s="476" customFormat="1" ht="12.75">
      <c r="A28" s="488" t="s">
        <v>302</v>
      </c>
      <c r="B28" s="489" t="s">
        <v>259</v>
      </c>
      <c r="C28" s="490">
        <v>2222</v>
      </c>
      <c r="D28" s="491">
        <v>51408.64</v>
      </c>
      <c r="E28" s="486">
        <f t="shared" si="0"/>
        <v>1527</v>
      </c>
      <c r="G28" s="492"/>
    </row>
    <row r="29" spans="1:7" s="476" customFormat="1" ht="12.75">
      <c r="A29" s="488" t="s">
        <v>303</v>
      </c>
      <c r="B29" s="489" t="s">
        <v>260</v>
      </c>
      <c r="C29" s="490">
        <v>3909</v>
      </c>
      <c r="D29" s="491">
        <v>56041</v>
      </c>
      <c r="E29" s="486">
        <f t="shared" si="0"/>
        <v>1665</v>
      </c>
      <c r="G29" s="492"/>
    </row>
    <row r="30" spans="1:7" s="476" customFormat="1" ht="12.75">
      <c r="A30" s="488" t="s">
        <v>304</v>
      </c>
      <c r="B30" s="489" t="s">
        <v>261</v>
      </c>
      <c r="C30" s="490">
        <v>3082</v>
      </c>
      <c r="D30" s="491">
        <v>47128.92</v>
      </c>
      <c r="E30" s="486">
        <f t="shared" si="0"/>
        <v>1400</v>
      </c>
      <c r="G30" s="492"/>
    </row>
    <row r="31" spans="1:7" s="476" customFormat="1" ht="12.75">
      <c r="A31" s="488" t="s">
        <v>305</v>
      </c>
      <c r="B31" s="489" t="s">
        <v>262</v>
      </c>
      <c r="C31" s="493" t="s">
        <v>306</v>
      </c>
      <c r="D31" s="494" t="s">
        <v>306</v>
      </c>
      <c r="E31" s="495" t="s">
        <v>307</v>
      </c>
      <c r="G31" s="492"/>
    </row>
    <row r="32" spans="1:7" s="476" customFormat="1" ht="12.75">
      <c r="A32" s="488" t="s">
        <v>308</v>
      </c>
      <c r="B32" s="489" t="s">
        <v>263</v>
      </c>
      <c r="C32" s="493" t="s">
        <v>306</v>
      </c>
      <c r="D32" s="494" t="s">
        <v>306</v>
      </c>
      <c r="E32" s="495" t="s">
        <v>307</v>
      </c>
      <c r="G32" s="492"/>
    </row>
    <row r="33" spans="1:7" s="476" customFormat="1" ht="12.75">
      <c r="A33" s="488" t="s">
        <v>309</v>
      </c>
      <c r="B33" s="489" t="s">
        <v>264</v>
      </c>
      <c r="C33" s="493" t="s">
        <v>306</v>
      </c>
      <c r="D33" s="494" t="s">
        <v>306</v>
      </c>
      <c r="E33" s="495" t="s">
        <v>307</v>
      </c>
      <c r="G33" s="492"/>
    </row>
    <row r="34" spans="1:7" s="476" customFormat="1" ht="12.75">
      <c r="A34" s="488" t="s">
        <v>310</v>
      </c>
      <c r="B34" s="489" t="s">
        <v>311</v>
      </c>
      <c r="C34" s="493">
        <v>230</v>
      </c>
      <c r="D34" s="494">
        <v>4140</v>
      </c>
      <c r="E34" s="486">
        <f>ROUND(E$5/D$37*D34,0)</f>
        <v>123</v>
      </c>
      <c r="G34" s="492"/>
    </row>
    <row r="35" spans="1:7" s="476" customFormat="1" ht="12.75">
      <c r="A35" s="488" t="s">
        <v>312</v>
      </c>
      <c r="B35" s="489" t="s">
        <v>266</v>
      </c>
      <c r="C35" s="490">
        <v>819</v>
      </c>
      <c r="D35" s="491">
        <v>20270.88</v>
      </c>
      <c r="E35" s="486">
        <f>ROUND(E$5/D$37*D35,0)</f>
        <v>602</v>
      </c>
      <c r="G35" s="492"/>
    </row>
    <row r="36" spans="1:7" s="476" customFormat="1" ht="13.5" thickBot="1">
      <c r="A36" s="496" t="s">
        <v>313</v>
      </c>
      <c r="B36" s="497" t="s">
        <v>314</v>
      </c>
      <c r="C36" s="498" t="s">
        <v>306</v>
      </c>
      <c r="D36" s="499" t="s">
        <v>306</v>
      </c>
      <c r="E36" s="495" t="s">
        <v>307</v>
      </c>
      <c r="G36" s="492"/>
    </row>
    <row r="37" spans="1:7" s="476" customFormat="1" ht="13.5" thickBot="1">
      <c r="A37" s="500" t="s">
        <v>33</v>
      </c>
      <c r="B37" s="501"/>
      <c r="C37" s="502">
        <f>SUM(C11:C36)</f>
        <v>38802</v>
      </c>
      <c r="D37" s="503">
        <f>SUM(D11:D36)</f>
        <v>740562.4400000001</v>
      </c>
      <c r="E37" s="504">
        <f>SUM(E11:E36)</f>
        <v>22000</v>
      </c>
      <c r="G37" s="492"/>
    </row>
    <row r="38" s="476" customFormat="1" ht="12.75">
      <c r="B38" s="589"/>
    </row>
    <row r="39" spans="1:6" ht="15">
      <c r="A39" s="590"/>
      <c r="B39" s="591"/>
      <c r="C39" s="590"/>
      <c r="D39" s="590"/>
      <c r="E39" s="590"/>
      <c r="F39" s="590"/>
    </row>
    <row r="40" spans="1:6" ht="15.75">
      <c r="A40" s="590"/>
      <c r="B40" s="591"/>
      <c r="C40" s="590"/>
      <c r="D40" s="592"/>
      <c r="E40" s="591"/>
      <c r="F40" s="590"/>
    </row>
    <row r="41" spans="1:6" ht="15">
      <c r="A41" s="590"/>
      <c r="B41" s="591"/>
      <c r="C41" s="590"/>
      <c r="D41" s="590"/>
      <c r="E41" s="590"/>
      <c r="F41" s="590"/>
    </row>
    <row r="42" spans="1:6" ht="15">
      <c r="A42" s="590"/>
      <c r="B42" s="591"/>
      <c r="C42" s="590"/>
      <c r="D42" s="590"/>
      <c r="E42" s="590"/>
      <c r="F42" s="590"/>
    </row>
    <row r="43" spans="1:6" ht="15">
      <c r="A43" s="590"/>
      <c r="B43" s="591"/>
      <c r="C43" s="590"/>
      <c r="D43" s="590"/>
      <c r="E43" s="590"/>
      <c r="F43" s="590"/>
    </row>
    <row r="44" spans="1:6" ht="15">
      <c r="A44" s="590"/>
      <c r="B44" s="591"/>
      <c r="C44" s="590"/>
      <c r="D44" s="590"/>
      <c r="E44" s="590"/>
      <c r="F44" s="590"/>
    </row>
    <row r="45" spans="1:6" ht="15">
      <c r="A45" s="590"/>
      <c r="B45" s="591"/>
      <c r="C45" s="590"/>
      <c r="D45" s="590"/>
      <c r="E45" s="590"/>
      <c r="F45" s="590"/>
    </row>
    <row r="46" spans="1:6" ht="15">
      <c r="A46" s="590"/>
      <c r="B46" s="591"/>
      <c r="C46" s="590"/>
      <c r="D46" s="590"/>
      <c r="E46" s="590"/>
      <c r="F46" s="590"/>
    </row>
    <row r="47" spans="1:6" ht="15.75">
      <c r="A47" s="590"/>
      <c r="B47" s="591"/>
      <c r="C47" s="590"/>
      <c r="D47" s="592"/>
      <c r="E47" s="590"/>
      <c r="F47" s="590"/>
    </row>
    <row r="48" spans="1:6" ht="15">
      <c r="A48" s="590"/>
      <c r="B48" s="591"/>
      <c r="C48" s="590"/>
      <c r="D48" s="590"/>
      <c r="E48" s="590"/>
      <c r="F48" s="590"/>
    </row>
  </sheetData>
  <sheetProtection/>
  <mergeCells count="6">
    <mergeCell ref="A1:E1"/>
    <mergeCell ref="A9:A10"/>
    <mergeCell ref="B9:B10"/>
    <mergeCell ref="C9:D9"/>
    <mergeCell ref="E9:E10"/>
    <mergeCell ref="A3:E3"/>
  </mergeCells>
  <printOptions horizontalCentered="1"/>
  <pageMargins left="0.11811023622047245" right="0.11811023622047245" top="0.4724409448818898" bottom="0.7874015748031497" header="0.31496062992125984" footer="0.31496062992125984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="110" zoomScaleNormal="110" workbookViewId="0" topLeftCell="A1">
      <selection activeCell="A1" sqref="A1"/>
    </sheetView>
  </sheetViews>
  <sheetFormatPr defaultColWidth="5.57421875" defaultRowHeight="12.75"/>
  <cols>
    <col min="1" max="1" width="8.57421875" style="972" customWidth="1"/>
    <col min="2" max="2" width="41.57421875" style="972" customWidth="1"/>
    <col min="3" max="3" width="12.57421875" style="972" customWidth="1"/>
    <col min="4" max="4" width="12.7109375" style="972" customWidth="1"/>
    <col min="5" max="5" width="13.28125" style="972" customWidth="1"/>
    <col min="6" max="6" width="13.00390625" style="972" customWidth="1"/>
    <col min="7" max="7" width="11.57421875" style="972" customWidth="1"/>
    <col min="8" max="10" width="9.140625" style="972" customWidth="1"/>
    <col min="11" max="11" width="13.57421875" style="972" customWidth="1"/>
    <col min="12" max="12" width="13.7109375" style="972" customWidth="1"/>
    <col min="13" max="255" width="9.140625" style="972" customWidth="1"/>
    <col min="256" max="16384" width="5.57421875" style="972" customWidth="1"/>
  </cols>
  <sheetData>
    <row r="1" ht="15">
      <c r="A1" s="976"/>
    </row>
    <row r="3" spans="1:5" ht="15.75">
      <c r="A3" s="1182" t="s">
        <v>446</v>
      </c>
      <c r="B3" s="1182"/>
      <c r="C3" s="1182"/>
      <c r="D3" s="1182"/>
      <c r="E3" s="1182"/>
    </row>
    <row r="4" spans="1:5" ht="15.75">
      <c r="A4" s="930"/>
      <c r="B4" s="930"/>
      <c r="C4" s="930"/>
      <c r="D4" s="930"/>
      <c r="E4" s="930"/>
    </row>
    <row r="5" spans="1:5" ht="31.5" customHeight="1">
      <c r="A5" s="1191" t="s">
        <v>464</v>
      </c>
      <c r="B5" s="1191"/>
      <c r="C5" s="1191"/>
      <c r="D5" s="1191"/>
      <c r="E5" s="1191"/>
    </row>
    <row r="6" s="931" customFormat="1" ht="14.25"/>
    <row r="7" spans="1:5" s="936" customFormat="1" ht="12.75">
      <c r="A7" s="932" t="s">
        <v>441</v>
      </c>
      <c r="B7" s="933"/>
      <c r="C7" s="933"/>
      <c r="D7" s="934"/>
      <c r="E7" s="935">
        <v>46600</v>
      </c>
    </row>
    <row r="8" spans="1:5" s="936" customFormat="1" ht="12.75">
      <c r="A8" s="932" t="s">
        <v>442</v>
      </c>
      <c r="B8" s="933"/>
      <c r="C8" s="933"/>
      <c r="D8" s="934"/>
      <c r="E8" s="937">
        <f>+E39*1000/D39*100</f>
        <v>89.60073834084812</v>
      </c>
    </row>
    <row r="9" spans="1:4" s="936" customFormat="1" ht="27.75">
      <c r="A9" s="938"/>
      <c r="B9" s="939"/>
      <c r="C9" s="938"/>
      <c r="D9" s="940"/>
    </row>
    <row r="10" spans="1:5" s="936" customFormat="1" ht="13.5" thickBot="1">
      <c r="A10" s="941"/>
      <c r="E10" s="942"/>
    </row>
    <row r="11" spans="1:5" s="936" customFormat="1" ht="18.75" customHeight="1">
      <c r="A11" s="1192" t="s">
        <v>276</v>
      </c>
      <c r="B11" s="1194" t="s">
        <v>277</v>
      </c>
      <c r="C11" s="1196" t="s">
        <v>278</v>
      </c>
      <c r="D11" s="1197"/>
      <c r="E11" s="1198" t="s">
        <v>455</v>
      </c>
    </row>
    <row r="12" spans="1:5" s="936" customFormat="1" ht="50.25" customHeight="1" thickBot="1">
      <c r="A12" s="1193"/>
      <c r="B12" s="1195"/>
      <c r="C12" s="943" t="s">
        <v>443</v>
      </c>
      <c r="D12" s="944" t="s">
        <v>444</v>
      </c>
      <c r="E12" s="1199"/>
    </row>
    <row r="13" spans="1:8" s="936" customFormat="1" ht="13.5" thickTop="1">
      <c r="A13" s="945" t="s">
        <v>282</v>
      </c>
      <c r="B13" s="946" t="s">
        <v>243</v>
      </c>
      <c r="C13" s="947">
        <v>204</v>
      </c>
      <c r="D13" s="948">
        <v>10116500</v>
      </c>
      <c r="E13" s="949">
        <f>+D13/D$39*E$7</f>
        <v>9064.458694251902</v>
      </c>
      <c r="F13" s="950"/>
      <c r="G13" s="950"/>
      <c r="H13" s="951"/>
    </row>
    <row r="14" spans="1:8" s="936" customFormat="1" ht="12.75">
      <c r="A14" s="952" t="s">
        <v>283</v>
      </c>
      <c r="B14" s="953" t="s">
        <v>244</v>
      </c>
      <c r="C14" s="954">
        <v>22</v>
      </c>
      <c r="D14" s="955">
        <v>920000</v>
      </c>
      <c r="E14" s="956">
        <f aca="true" t="shared" si="0" ref="E14:E32">+D14/D$39*E$7</f>
        <v>824.3267927358028</v>
      </c>
      <c r="F14" s="950"/>
      <c r="G14" s="950"/>
      <c r="H14" s="951"/>
    </row>
    <row r="15" spans="1:8" s="936" customFormat="1" ht="12.75">
      <c r="A15" s="952" t="s">
        <v>284</v>
      </c>
      <c r="B15" s="953" t="s">
        <v>285</v>
      </c>
      <c r="C15" s="954" t="s">
        <v>306</v>
      </c>
      <c r="D15" s="955" t="s">
        <v>306</v>
      </c>
      <c r="E15" s="956">
        <v>0</v>
      </c>
      <c r="F15" s="950"/>
      <c r="G15" s="950"/>
      <c r="H15" s="951"/>
    </row>
    <row r="16" spans="1:8" s="936" customFormat="1" ht="12.75">
      <c r="A16" s="952" t="s">
        <v>286</v>
      </c>
      <c r="B16" s="953" t="s">
        <v>246</v>
      </c>
      <c r="C16" s="954">
        <v>369</v>
      </c>
      <c r="D16" s="955">
        <v>19289500</v>
      </c>
      <c r="E16" s="956">
        <f t="shared" si="0"/>
        <v>17283.5344222579</v>
      </c>
      <c r="F16" s="950"/>
      <c r="G16" s="950"/>
      <c r="H16" s="951"/>
    </row>
    <row r="17" spans="1:8" s="936" customFormat="1" ht="12.75">
      <c r="A17" s="952" t="s">
        <v>287</v>
      </c>
      <c r="B17" s="953" t="s">
        <v>247</v>
      </c>
      <c r="C17" s="954">
        <v>90</v>
      </c>
      <c r="D17" s="955">
        <v>4928000</v>
      </c>
      <c r="E17" s="956">
        <f t="shared" si="0"/>
        <v>4415.5243854369955</v>
      </c>
      <c r="F17" s="950"/>
      <c r="G17" s="950"/>
      <c r="H17" s="951"/>
    </row>
    <row r="18" spans="1:8" s="936" customFormat="1" ht="12.75">
      <c r="A18" s="952" t="s">
        <v>288</v>
      </c>
      <c r="B18" s="953" t="s">
        <v>248</v>
      </c>
      <c r="C18" s="954" t="s">
        <v>306</v>
      </c>
      <c r="D18" s="955" t="s">
        <v>306</v>
      </c>
      <c r="E18" s="956">
        <v>0</v>
      </c>
      <c r="F18" s="950"/>
      <c r="G18" s="950"/>
      <c r="H18" s="951"/>
    </row>
    <row r="19" spans="1:8" s="936" customFormat="1" ht="12.75">
      <c r="A19" s="952" t="s">
        <v>289</v>
      </c>
      <c r="B19" s="953" t="s">
        <v>249</v>
      </c>
      <c r="C19" s="954">
        <v>44</v>
      </c>
      <c r="D19" s="955">
        <v>1844000</v>
      </c>
      <c r="E19" s="956">
        <f t="shared" si="0"/>
        <v>1652.2376150052396</v>
      </c>
      <c r="F19" s="950"/>
      <c r="G19" s="950"/>
      <c r="H19" s="951"/>
    </row>
    <row r="20" spans="1:8" s="936" customFormat="1" ht="12.75">
      <c r="A20" s="952" t="s">
        <v>290</v>
      </c>
      <c r="B20" s="953" t="s">
        <v>42</v>
      </c>
      <c r="C20" s="954">
        <v>38</v>
      </c>
      <c r="D20" s="955">
        <v>1560000</v>
      </c>
      <c r="E20" s="956">
        <f t="shared" si="0"/>
        <v>1397.771518117231</v>
      </c>
      <c r="F20" s="950"/>
      <c r="G20" s="950"/>
      <c r="H20" s="951"/>
    </row>
    <row r="21" spans="1:8" s="936" customFormat="1" ht="12.75">
      <c r="A21" s="952" t="s">
        <v>291</v>
      </c>
      <c r="B21" s="953" t="s">
        <v>250</v>
      </c>
      <c r="C21" s="954">
        <v>22</v>
      </c>
      <c r="D21" s="955">
        <v>1134500</v>
      </c>
      <c r="E21" s="956">
        <f t="shared" si="0"/>
        <v>1016.520376476922</v>
      </c>
      <c r="F21" s="950"/>
      <c r="G21" s="950"/>
      <c r="H21" s="951"/>
    </row>
    <row r="22" spans="1:8" s="936" customFormat="1" ht="12.75">
      <c r="A22" s="952" t="s">
        <v>292</v>
      </c>
      <c r="B22" s="953" t="s">
        <v>251</v>
      </c>
      <c r="C22" s="954">
        <v>66</v>
      </c>
      <c r="D22" s="955">
        <v>1905500</v>
      </c>
      <c r="E22" s="956">
        <f t="shared" si="0"/>
        <v>1707.342069084861</v>
      </c>
      <c r="F22" s="950"/>
      <c r="G22" s="950"/>
      <c r="H22" s="951"/>
    </row>
    <row r="23" spans="1:8" s="936" customFormat="1" ht="12.75">
      <c r="A23" s="952" t="s">
        <v>293</v>
      </c>
      <c r="B23" s="953" t="s">
        <v>294</v>
      </c>
      <c r="C23" s="954" t="s">
        <v>306</v>
      </c>
      <c r="D23" s="955" t="s">
        <v>306</v>
      </c>
      <c r="E23" s="956">
        <v>0</v>
      </c>
      <c r="F23" s="950"/>
      <c r="G23" s="950"/>
      <c r="H23" s="951"/>
    </row>
    <row r="24" spans="1:8" s="936" customFormat="1" ht="12.75">
      <c r="A24" s="952" t="s">
        <v>295</v>
      </c>
      <c r="B24" s="953" t="s">
        <v>253</v>
      </c>
      <c r="C24" s="954">
        <v>64</v>
      </c>
      <c r="D24" s="955">
        <v>1802500</v>
      </c>
      <c r="E24" s="956">
        <f t="shared" si="0"/>
        <v>1615.0533085937877</v>
      </c>
      <c r="F24" s="950"/>
      <c r="G24" s="950"/>
      <c r="H24" s="951"/>
    </row>
    <row r="25" spans="1:8" s="936" customFormat="1" ht="12.75">
      <c r="A25" s="952" t="s">
        <v>296</v>
      </c>
      <c r="B25" s="953" t="s">
        <v>254</v>
      </c>
      <c r="C25" s="954" t="s">
        <v>306</v>
      </c>
      <c r="D25" s="955" t="s">
        <v>306</v>
      </c>
      <c r="E25" s="956">
        <v>0</v>
      </c>
      <c r="F25" s="950"/>
      <c r="G25" s="950"/>
      <c r="H25" s="951"/>
    </row>
    <row r="26" spans="1:8" s="936" customFormat="1" ht="12.75">
      <c r="A26" s="952" t="s">
        <v>297</v>
      </c>
      <c r="B26" s="953" t="s">
        <v>255</v>
      </c>
      <c r="C26" s="954">
        <v>24</v>
      </c>
      <c r="D26" s="955">
        <v>934000</v>
      </c>
      <c r="E26" s="956">
        <f t="shared" si="0"/>
        <v>836.8708961035215</v>
      </c>
      <c r="F26" s="950"/>
      <c r="G26" s="950"/>
      <c r="H26" s="951"/>
    </row>
    <row r="27" spans="1:8" s="936" customFormat="1" ht="12.75">
      <c r="A27" s="952" t="s">
        <v>298</v>
      </c>
      <c r="B27" s="953" t="s">
        <v>256</v>
      </c>
      <c r="C27" s="954">
        <v>48</v>
      </c>
      <c r="D27" s="955">
        <v>1075000</v>
      </c>
      <c r="E27" s="956">
        <f t="shared" si="0"/>
        <v>963.2079371641173</v>
      </c>
      <c r="F27" s="950"/>
      <c r="G27" s="950"/>
      <c r="H27" s="951"/>
    </row>
    <row r="28" spans="1:8" s="936" customFormat="1" ht="12.75">
      <c r="A28" s="952" t="s">
        <v>299</v>
      </c>
      <c r="B28" s="953" t="s">
        <v>300</v>
      </c>
      <c r="C28" s="954">
        <v>44</v>
      </c>
      <c r="D28" s="955">
        <v>1575000</v>
      </c>
      <c r="E28" s="956">
        <f t="shared" si="0"/>
        <v>1411.211628868358</v>
      </c>
      <c r="F28" s="950"/>
      <c r="G28" s="950"/>
      <c r="H28" s="951"/>
    </row>
    <row r="29" spans="1:8" s="936" customFormat="1" ht="12.75">
      <c r="A29" s="952" t="s">
        <v>301</v>
      </c>
      <c r="B29" s="953" t="s">
        <v>258</v>
      </c>
      <c r="C29" s="954" t="s">
        <v>306</v>
      </c>
      <c r="D29" s="955" t="s">
        <v>306</v>
      </c>
      <c r="E29" s="956">
        <v>0</v>
      </c>
      <c r="F29" s="950"/>
      <c r="G29" s="950"/>
      <c r="H29" s="951"/>
    </row>
    <row r="30" spans="1:8" s="936" customFormat="1" ht="12.75">
      <c r="A30" s="952" t="s">
        <v>302</v>
      </c>
      <c r="B30" s="953" t="s">
        <v>259</v>
      </c>
      <c r="C30" s="954">
        <v>34</v>
      </c>
      <c r="D30" s="955">
        <v>1311000</v>
      </c>
      <c r="E30" s="956">
        <f t="shared" si="0"/>
        <v>1174.665679648519</v>
      </c>
      <c r="F30" s="950"/>
      <c r="G30" s="950"/>
      <c r="H30" s="951"/>
    </row>
    <row r="31" spans="1:8" s="936" customFormat="1" ht="12.75">
      <c r="A31" s="952" t="s">
        <v>303</v>
      </c>
      <c r="B31" s="953" t="s">
        <v>260</v>
      </c>
      <c r="C31" s="954">
        <v>52</v>
      </c>
      <c r="D31" s="955">
        <v>2007000</v>
      </c>
      <c r="E31" s="956">
        <f t="shared" si="0"/>
        <v>1798.286818500822</v>
      </c>
      <c r="G31" s="950"/>
      <c r="H31" s="951"/>
    </row>
    <row r="32" spans="1:8" s="936" customFormat="1" ht="12.75">
      <c r="A32" s="952" t="s">
        <v>304</v>
      </c>
      <c r="B32" s="953" t="s">
        <v>261</v>
      </c>
      <c r="C32" s="954">
        <v>16</v>
      </c>
      <c r="D32" s="955">
        <v>276000</v>
      </c>
      <c r="E32" s="957">
        <f t="shared" si="0"/>
        <v>247.29803782074083</v>
      </c>
      <c r="F32" s="950"/>
      <c r="G32" s="950"/>
      <c r="H32" s="951"/>
    </row>
    <row r="33" spans="1:8" s="936" customFormat="1" ht="12.75">
      <c r="A33" s="952" t="s">
        <v>305</v>
      </c>
      <c r="B33" s="953" t="s">
        <v>262</v>
      </c>
      <c r="C33" s="954" t="s">
        <v>306</v>
      </c>
      <c r="D33" s="955" t="s">
        <v>306</v>
      </c>
      <c r="E33" s="957">
        <v>0</v>
      </c>
      <c r="F33" s="950"/>
      <c r="G33" s="950"/>
      <c r="H33" s="951"/>
    </row>
    <row r="34" spans="1:8" s="936" customFormat="1" ht="12.75">
      <c r="A34" s="952" t="s">
        <v>308</v>
      </c>
      <c r="B34" s="953" t="s">
        <v>263</v>
      </c>
      <c r="C34" s="954" t="s">
        <v>306</v>
      </c>
      <c r="D34" s="955" t="s">
        <v>306</v>
      </c>
      <c r="E34" s="957">
        <v>0</v>
      </c>
      <c r="F34" s="950"/>
      <c r="G34" s="950"/>
      <c r="H34" s="951"/>
    </row>
    <row r="35" spans="1:8" s="936" customFormat="1" ht="12.75">
      <c r="A35" s="952" t="s">
        <v>309</v>
      </c>
      <c r="B35" s="953" t="s">
        <v>264</v>
      </c>
      <c r="C35" s="954" t="s">
        <v>306</v>
      </c>
      <c r="D35" s="955" t="s">
        <v>306</v>
      </c>
      <c r="E35" s="957">
        <v>0</v>
      </c>
      <c r="F35" s="950"/>
      <c r="G35" s="950"/>
      <c r="H35" s="951"/>
    </row>
    <row r="36" spans="1:8" s="936" customFormat="1" ht="12.75">
      <c r="A36" s="952" t="s">
        <v>310</v>
      </c>
      <c r="B36" s="953" t="s">
        <v>445</v>
      </c>
      <c r="C36" s="954">
        <v>11</v>
      </c>
      <c r="D36" s="955">
        <v>1330000</v>
      </c>
      <c r="E36" s="956">
        <f>+D36/D$39*E$7</f>
        <v>1191.6898199332802</v>
      </c>
      <c r="F36" s="950"/>
      <c r="G36" s="950"/>
      <c r="H36" s="951"/>
    </row>
    <row r="37" spans="1:8" s="936" customFormat="1" ht="12.75">
      <c r="A37" s="952" t="s">
        <v>312</v>
      </c>
      <c r="B37" s="953" t="s">
        <v>266</v>
      </c>
      <c r="C37" s="954" t="s">
        <v>306</v>
      </c>
      <c r="D37" s="955" t="s">
        <v>306</v>
      </c>
      <c r="E37" s="957">
        <v>0</v>
      </c>
      <c r="F37" s="950"/>
      <c r="G37" s="950"/>
      <c r="H37" s="951"/>
    </row>
    <row r="38" spans="1:8" s="936" customFormat="1" ht="13.5" thickBot="1">
      <c r="A38" s="958" t="s">
        <v>313</v>
      </c>
      <c r="B38" s="959" t="s">
        <v>314</v>
      </c>
      <c r="C38" s="954" t="s">
        <v>306</v>
      </c>
      <c r="D38" s="955" t="s">
        <v>306</v>
      </c>
      <c r="E38" s="957">
        <v>0</v>
      </c>
      <c r="F38" s="950"/>
      <c r="G38" s="950"/>
      <c r="H38" s="951"/>
    </row>
    <row r="39" spans="1:8" s="965" customFormat="1" ht="14.25" thickBot="1" thickTop="1">
      <c r="A39" s="960"/>
      <c r="B39" s="961" t="s">
        <v>465</v>
      </c>
      <c r="C39" s="962">
        <f>SUM(C13:C38)</f>
        <v>1148</v>
      </c>
      <c r="D39" s="963">
        <f>SUM(D13:D38)</f>
        <v>52008500</v>
      </c>
      <c r="E39" s="964">
        <f>SUM(E13:E38)</f>
        <v>46600</v>
      </c>
      <c r="H39" s="966"/>
    </row>
    <row r="40" s="967" customFormat="1" ht="12.75">
      <c r="C40" s="968"/>
    </row>
    <row r="41" s="969" customFormat="1" ht="12.75"/>
    <row r="42" s="969" customFormat="1" ht="12.75"/>
    <row r="43" s="969" customFormat="1" ht="12.75">
      <c r="C43" s="970"/>
    </row>
    <row r="44" spans="1:8" ht="15.75">
      <c r="A44" s="971"/>
      <c r="B44" s="971"/>
      <c r="C44" s="971"/>
      <c r="D44" s="971"/>
      <c r="E44" s="971"/>
      <c r="F44" s="971"/>
      <c r="G44" s="971"/>
      <c r="H44" s="971"/>
    </row>
    <row r="45" spans="1:8" ht="15.75">
      <c r="A45" s="971"/>
      <c r="B45" s="971"/>
      <c r="C45" s="971"/>
      <c r="D45" s="971"/>
      <c r="E45" s="971"/>
      <c r="F45" s="971"/>
      <c r="G45" s="971"/>
      <c r="H45" s="971"/>
    </row>
    <row r="46" spans="1:8" ht="15.75">
      <c r="A46" s="971"/>
      <c r="B46" s="971"/>
      <c r="C46" s="971"/>
      <c r="D46" s="971"/>
      <c r="E46" s="971"/>
      <c r="F46" s="971"/>
      <c r="G46" s="971"/>
      <c r="H46" s="971"/>
    </row>
    <row r="47" spans="1:8" ht="15.75">
      <c r="A47" s="971"/>
      <c r="B47" s="971"/>
      <c r="C47" s="971"/>
      <c r="D47" s="971"/>
      <c r="E47" s="971"/>
      <c r="F47" s="971"/>
      <c r="G47" s="971"/>
      <c r="H47" s="971"/>
    </row>
    <row r="48" spans="1:8" ht="15.75">
      <c r="A48" s="971"/>
      <c r="B48" s="971"/>
      <c r="C48" s="971"/>
      <c r="D48" s="971"/>
      <c r="E48" s="971"/>
      <c r="F48" s="971"/>
      <c r="G48" s="971"/>
      <c r="H48" s="971"/>
    </row>
    <row r="49" spans="1:8" ht="15.75">
      <c r="A49" s="971"/>
      <c r="B49" s="971"/>
      <c r="C49" s="971"/>
      <c r="D49" s="971"/>
      <c r="E49" s="971"/>
      <c r="F49" s="971"/>
      <c r="G49" s="971"/>
      <c r="H49" s="971"/>
    </row>
    <row r="50" spans="1:8" ht="15.75">
      <c r="A50" s="971"/>
      <c r="B50" s="971"/>
      <c r="C50" s="971"/>
      <c r="D50" s="971"/>
      <c r="E50" s="971"/>
      <c r="F50" s="971"/>
      <c r="G50" s="971"/>
      <c r="H50" s="971"/>
    </row>
    <row r="51" spans="1:8" ht="15.75">
      <c r="A51" s="971"/>
      <c r="B51" s="971"/>
      <c r="C51" s="971"/>
      <c r="D51" s="971"/>
      <c r="E51" s="971"/>
      <c r="F51" s="971"/>
      <c r="G51" s="971"/>
      <c r="H51" s="971"/>
    </row>
    <row r="52" spans="1:8" ht="15.75">
      <c r="A52" s="971"/>
      <c r="B52" s="971"/>
      <c r="C52" s="971"/>
      <c r="D52" s="971"/>
      <c r="E52" s="971"/>
      <c r="F52" s="971"/>
      <c r="G52" s="971"/>
      <c r="H52" s="971"/>
    </row>
    <row r="53" spans="1:8" ht="15.75">
      <c r="A53" s="971"/>
      <c r="B53" s="971"/>
      <c r="C53" s="971"/>
      <c r="D53" s="971"/>
      <c r="E53" s="971"/>
      <c r="F53" s="971"/>
      <c r="G53" s="971"/>
      <c r="H53" s="971"/>
    </row>
    <row r="54" spans="1:8" ht="15.75">
      <c r="A54" s="971"/>
      <c r="B54" s="971"/>
      <c r="C54" s="971"/>
      <c r="D54" s="971"/>
      <c r="E54" s="971"/>
      <c r="F54" s="971"/>
      <c r="G54" s="971"/>
      <c r="H54" s="971"/>
    </row>
    <row r="55" spans="1:8" ht="15.75">
      <c r="A55" s="971"/>
      <c r="B55" s="971"/>
      <c r="C55" s="971"/>
      <c r="D55" s="971"/>
      <c r="E55" s="971"/>
      <c r="F55" s="971"/>
      <c r="G55" s="971"/>
      <c r="H55" s="971"/>
    </row>
    <row r="56" spans="1:8" ht="15.75">
      <c r="A56" s="971"/>
      <c r="B56" s="971"/>
      <c r="C56" s="971"/>
      <c r="D56" s="971"/>
      <c r="E56" s="971"/>
      <c r="F56" s="971"/>
      <c r="G56" s="971"/>
      <c r="H56" s="971"/>
    </row>
    <row r="57" spans="1:8" ht="15.75">
      <c r="A57" s="971"/>
      <c r="B57" s="971"/>
      <c r="C57" s="971"/>
      <c r="D57" s="971"/>
      <c r="E57" s="971"/>
      <c r="F57" s="971"/>
      <c r="G57" s="971"/>
      <c r="H57" s="971"/>
    </row>
    <row r="58" spans="1:8" ht="15.75">
      <c r="A58" s="971"/>
      <c r="B58" s="971"/>
      <c r="C58" s="971"/>
      <c r="D58" s="971"/>
      <c r="E58" s="971"/>
      <c r="F58" s="971"/>
      <c r="G58" s="971"/>
      <c r="H58" s="971"/>
    </row>
    <row r="59" spans="1:8" ht="15.75">
      <c r="A59" s="971"/>
      <c r="B59" s="971"/>
      <c r="C59" s="971"/>
      <c r="D59" s="971"/>
      <c r="E59" s="971"/>
      <c r="F59" s="971"/>
      <c r="G59" s="971"/>
      <c r="H59" s="971"/>
    </row>
    <row r="60" spans="1:8" ht="15.75">
      <c r="A60" s="971"/>
      <c r="B60" s="971"/>
      <c r="C60" s="971"/>
      <c r="D60" s="971"/>
      <c r="E60" s="971"/>
      <c r="F60" s="971"/>
      <c r="G60" s="971"/>
      <c r="H60" s="971"/>
    </row>
    <row r="61" spans="1:8" ht="15.75">
      <c r="A61" s="971"/>
      <c r="B61" s="971"/>
      <c r="C61" s="971"/>
      <c r="D61" s="971"/>
      <c r="E61" s="971"/>
      <c r="F61" s="971"/>
      <c r="G61" s="971"/>
      <c r="H61" s="971"/>
    </row>
    <row r="62" spans="1:8" ht="15.75">
      <c r="A62" s="971"/>
      <c r="B62" s="971"/>
      <c r="C62" s="971"/>
      <c r="D62" s="971"/>
      <c r="E62" s="971"/>
      <c r="F62" s="971"/>
      <c r="G62" s="971"/>
      <c r="H62" s="971"/>
    </row>
    <row r="63" spans="1:8" ht="15.75">
      <c r="A63" s="971"/>
      <c r="B63" s="971"/>
      <c r="C63" s="971"/>
      <c r="D63" s="971"/>
      <c r="E63" s="971"/>
      <c r="F63" s="971"/>
      <c r="G63" s="971"/>
      <c r="H63" s="971"/>
    </row>
    <row r="64" spans="1:8" ht="15.75">
      <c r="A64" s="971"/>
      <c r="B64" s="971"/>
      <c r="C64" s="971"/>
      <c r="D64" s="971"/>
      <c r="E64" s="971"/>
      <c r="F64" s="971"/>
      <c r="G64" s="971"/>
      <c r="H64" s="971"/>
    </row>
    <row r="65" spans="1:8" ht="15.75">
      <c r="A65" s="971"/>
      <c r="B65" s="971"/>
      <c r="C65" s="971"/>
      <c r="D65" s="971"/>
      <c r="E65" s="971"/>
      <c r="F65" s="971"/>
      <c r="G65" s="971"/>
      <c r="H65" s="971"/>
    </row>
    <row r="66" spans="1:8" ht="15.75">
      <c r="A66" s="971"/>
      <c r="B66" s="971"/>
      <c r="C66" s="971"/>
      <c r="D66" s="971"/>
      <c r="E66" s="971"/>
      <c r="F66" s="971"/>
      <c r="G66" s="971"/>
      <c r="H66" s="971"/>
    </row>
    <row r="67" spans="1:8" ht="15.75">
      <c r="A67" s="971"/>
      <c r="B67" s="971"/>
      <c r="C67" s="971"/>
      <c r="D67" s="971"/>
      <c r="E67" s="971"/>
      <c r="F67" s="971"/>
      <c r="G67" s="971"/>
      <c r="H67" s="971"/>
    </row>
    <row r="68" spans="1:8" ht="15.75">
      <c r="A68" s="971"/>
      <c r="B68" s="971"/>
      <c r="C68" s="971"/>
      <c r="D68" s="971"/>
      <c r="E68" s="971"/>
      <c r="F68" s="971"/>
      <c r="G68" s="971"/>
      <c r="H68" s="971"/>
    </row>
    <row r="69" spans="1:8" ht="15.75">
      <c r="A69" s="971"/>
      <c r="B69" s="971"/>
      <c r="C69" s="971"/>
      <c r="D69" s="971"/>
      <c r="E69" s="971"/>
      <c r="F69" s="971"/>
      <c r="G69" s="971"/>
      <c r="H69" s="971"/>
    </row>
    <row r="70" spans="1:8" ht="15.75">
      <c r="A70" s="971"/>
      <c r="B70" s="971"/>
      <c r="C70" s="971"/>
      <c r="D70" s="971"/>
      <c r="E70" s="971"/>
      <c r="F70" s="971"/>
      <c r="G70" s="971"/>
      <c r="H70" s="971"/>
    </row>
    <row r="71" spans="1:8" ht="15.75">
      <c r="A71" s="971"/>
      <c r="B71" s="971"/>
      <c r="C71" s="971"/>
      <c r="D71" s="971"/>
      <c r="E71" s="971"/>
      <c r="F71" s="971"/>
      <c r="G71" s="971"/>
      <c r="H71" s="971"/>
    </row>
    <row r="72" spans="1:8" ht="15.75">
      <c r="A72" s="971"/>
      <c r="B72" s="971"/>
      <c r="C72" s="971"/>
      <c r="D72" s="971"/>
      <c r="E72" s="971"/>
      <c r="F72" s="971"/>
      <c r="G72" s="971"/>
      <c r="H72" s="971"/>
    </row>
    <row r="73" spans="1:8" ht="15.75">
      <c r="A73" s="971"/>
      <c r="B73" s="971"/>
      <c r="C73" s="971"/>
      <c r="D73" s="971"/>
      <c r="E73" s="971"/>
      <c r="F73" s="971"/>
      <c r="G73" s="971"/>
      <c r="H73" s="971"/>
    </row>
    <row r="74" spans="1:8" ht="15.75">
      <c r="A74" s="971"/>
      <c r="B74" s="971"/>
      <c r="C74" s="971"/>
      <c r="D74" s="971"/>
      <c r="E74" s="971"/>
      <c r="F74" s="971"/>
      <c r="G74" s="971"/>
      <c r="H74" s="971"/>
    </row>
    <row r="75" spans="1:8" ht="15.75">
      <c r="A75" s="971"/>
      <c r="B75" s="971"/>
      <c r="C75" s="971"/>
      <c r="D75" s="971"/>
      <c r="E75" s="971"/>
      <c r="F75" s="971"/>
      <c r="G75" s="971"/>
      <c r="H75" s="971"/>
    </row>
  </sheetData>
  <sheetProtection/>
  <mergeCells count="6">
    <mergeCell ref="A11:A12"/>
    <mergeCell ref="B11:B12"/>
    <mergeCell ref="C11:D11"/>
    <mergeCell ref="E11:E12"/>
    <mergeCell ref="A3:E3"/>
    <mergeCell ref="A5:E5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595" customWidth="1"/>
    <col min="2" max="2" width="48.8515625" style="595" bestFit="1" customWidth="1"/>
    <col min="3" max="3" width="11.28125" style="595" customWidth="1"/>
    <col min="4" max="4" width="11.8515625" style="595" bestFit="1" customWidth="1"/>
    <col min="5" max="5" width="9.57421875" style="595" bestFit="1" customWidth="1"/>
    <col min="6" max="6" width="9.421875" style="595" bestFit="1" customWidth="1"/>
    <col min="7" max="7" width="10.140625" style="595" customWidth="1"/>
    <col min="8" max="8" width="9.28125" style="595" customWidth="1"/>
    <col min="9" max="16384" width="9.140625" style="595" customWidth="1"/>
  </cols>
  <sheetData>
    <row r="1" ht="12.75">
      <c r="A1" s="973"/>
    </row>
    <row r="3" ht="23.25">
      <c r="A3" s="562" t="s">
        <v>319</v>
      </c>
    </row>
    <row r="4" ht="12.75">
      <c r="A4" s="596"/>
    </row>
    <row r="5" spans="1:10" ht="20.25">
      <c r="A5" s="597" t="s">
        <v>315</v>
      </c>
      <c r="C5" s="598"/>
      <c r="D5" s="599"/>
      <c r="E5" s="599"/>
      <c r="F5" s="599"/>
      <c r="G5" s="599"/>
      <c r="H5" s="599"/>
      <c r="I5" s="599"/>
      <c r="J5" s="599"/>
    </row>
    <row r="6" spans="1:10" ht="15">
      <c r="A6" s="600"/>
      <c r="C6" s="598"/>
      <c r="D6" s="599"/>
      <c r="E6" s="599"/>
      <c r="F6" s="599"/>
      <c r="G6" s="599"/>
      <c r="H6" s="599"/>
      <c r="I6" s="599"/>
      <c r="J6" s="599"/>
    </row>
    <row r="7" spans="1:10" ht="15">
      <c r="A7" s="600" t="s">
        <v>316</v>
      </c>
      <c r="C7" s="598"/>
      <c r="D7" s="599"/>
      <c r="E7" s="599"/>
      <c r="F7" s="599"/>
      <c r="G7" s="599"/>
      <c r="H7" s="599"/>
      <c r="I7" s="599"/>
      <c r="J7" s="599"/>
    </row>
    <row r="8" spans="1:10" ht="15.75" thickBot="1">
      <c r="A8" s="601"/>
      <c r="B8" s="601"/>
      <c r="C8" s="598"/>
      <c r="D8" s="599"/>
      <c r="E8" s="599"/>
      <c r="F8" s="599"/>
      <c r="G8" s="599"/>
      <c r="H8" s="599"/>
      <c r="I8" s="599"/>
      <c r="J8" s="599"/>
    </row>
    <row r="9" spans="1:10" ht="26.25" thickBot="1">
      <c r="A9" s="611" t="s">
        <v>399</v>
      </c>
      <c r="B9" s="612" t="s">
        <v>317</v>
      </c>
      <c r="C9" s="613" t="s">
        <v>404</v>
      </c>
      <c r="D9" s="599"/>
      <c r="E9" s="599"/>
      <c r="F9" s="594"/>
      <c r="G9" s="594"/>
      <c r="H9" s="594"/>
      <c r="I9" s="594"/>
      <c r="J9" s="594"/>
    </row>
    <row r="10" spans="1:10" ht="12.75">
      <c r="A10" s="602"/>
      <c r="B10" s="603"/>
      <c r="C10" s="614"/>
      <c r="D10" s="599"/>
      <c r="E10" s="599"/>
      <c r="F10" s="594"/>
      <c r="G10" s="594"/>
      <c r="H10" s="594"/>
      <c r="I10" s="594"/>
      <c r="J10" s="594"/>
    </row>
    <row r="11" spans="1:10" ht="12.75">
      <c r="A11" s="604">
        <v>1100</v>
      </c>
      <c r="B11" s="615" t="s">
        <v>243</v>
      </c>
      <c r="C11" s="616">
        <v>186739</v>
      </c>
      <c r="D11" s="599"/>
      <c r="E11" s="599"/>
      <c r="F11" s="594"/>
      <c r="G11" s="594"/>
      <c r="H11" s="594"/>
      <c r="I11" s="594"/>
      <c r="J11" s="594"/>
    </row>
    <row r="12" spans="1:10" ht="12.75">
      <c r="A12" s="605">
        <v>1200</v>
      </c>
      <c r="B12" s="615" t="s">
        <v>244</v>
      </c>
      <c r="C12" s="616">
        <v>31472</v>
      </c>
      <c r="D12" s="599"/>
      <c r="E12" s="599"/>
      <c r="F12" s="594"/>
      <c r="G12" s="594"/>
      <c r="H12" s="594"/>
      <c r="I12" s="594"/>
      <c r="J12" s="594"/>
    </row>
    <row r="13" spans="1:10" ht="12.75">
      <c r="A13" s="605">
        <v>1300</v>
      </c>
      <c r="B13" s="615" t="s">
        <v>245</v>
      </c>
      <c r="C13" s="616">
        <v>27824</v>
      </c>
      <c r="D13" s="599"/>
      <c r="E13" s="599"/>
      <c r="F13" s="594"/>
      <c r="G13" s="594"/>
      <c r="H13" s="594"/>
      <c r="I13" s="594"/>
      <c r="J13" s="594"/>
    </row>
    <row r="14" spans="1:10" ht="12.75">
      <c r="A14" s="605">
        <v>1400</v>
      </c>
      <c r="B14" s="615" t="s">
        <v>246</v>
      </c>
      <c r="C14" s="616">
        <v>121421</v>
      </c>
      <c r="D14" s="599"/>
      <c r="E14" s="599"/>
      <c r="F14" s="594"/>
      <c r="G14" s="594"/>
      <c r="H14" s="594"/>
      <c r="I14" s="594"/>
      <c r="J14" s="594"/>
    </row>
    <row r="15" spans="1:10" ht="12.75">
      <c r="A15" s="605">
        <v>1500</v>
      </c>
      <c r="B15" s="615" t="s">
        <v>247</v>
      </c>
      <c r="C15" s="616">
        <v>63786</v>
      </c>
      <c r="D15" s="599"/>
      <c r="E15" s="599"/>
      <c r="F15" s="594"/>
      <c r="G15" s="594"/>
      <c r="H15" s="594"/>
      <c r="I15" s="594"/>
      <c r="J15" s="594"/>
    </row>
    <row r="16" spans="1:10" ht="15">
      <c r="A16" s="605">
        <v>1600</v>
      </c>
      <c r="B16" s="615" t="s">
        <v>248</v>
      </c>
      <c r="C16" s="616">
        <v>12472</v>
      </c>
      <c r="D16" s="606"/>
      <c r="E16" s="606"/>
      <c r="F16" s="594"/>
      <c r="G16" s="594"/>
      <c r="H16" s="594"/>
      <c r="I16" s="594"/>
      <c r="J16" s="594"/>
    </row>
    <row r="17" spans="1:10" ht="12.75">
      <c r="A17" s="605">
        <v>1700</v>
      </c>
      <c r="B17" s="615" t="s">
        <v>249</v>
      </c>
      <c r="C17" s="616">
        <v>26609</v>
      </c>
      <c r="D17" s="599"/>
      <c r="E17" s="599"/>
      <c r="F17" s="594"/>
      <c r="G17" s="594"/>
      <c r="H17" s="594"/>
      <c r="I17" s="594"/>
      <c r="J17" s="594"/>
    </row>
    <row r="18" spans="1:10" ht="12.75">
      <c r="A18" s="605">
        <v>1800</v>
      </c>
      <c r="B18" s="615" t="s">
        <v>42</v>
      </c>
      <c r="C18" s="616">
        <v>21324</v>
      </c>
      <c r="D18" s="599"/>
      <c r="E18" s="599"/>
      <c r="F18" s="594"/>
      <c r="G18" s="594"/>
      <c r="H18" s="594"/>
      <c r="I18" s="594"/>
      <c r="J18" s="594"/>
    </row>
    <row r="19" spans="1:10" ht="12.75">
      <c r="A19" s="605">
        <v>1900</v>
      </c>
      <c r="B19" s="615" t="s">
        <v>250</v>
      </c>
      <c r="C19" s="616">
        <v>16688</v>
      </c>
      <c r="D19" s="599"/>
      <c r="E19" s="599"/>
      <c r="F19" s="594"/>
      <c r="G19" s="594"/>
      <c r="H19" s="594"/>
      <c r="I19" s="594"/>
      <c r="J19" s="594"/>
    </row>
    <row r="20" spans="1:10" ht="12.75">
      <c r="A20" s="605">
        <v>2100</v>
      </c>
      <c r="B20" s="615" t="s">
        <v>251</v>
      </c>
      <c r="C20" s="617">
        <v>85332</v>
      </c>
      <c r="D20" s="599"/>
      <c r="E20" s="599"/>
      <c r="F20" s="594"/>
      <c r="G20" s="594"/>
      <c r="H20" s="594"/>
      <c r="I20" s="594"/>
      <c r="J20" s="594"/>
    </row>
    <row r="21" spans="1:10" ht="15">
      <c r="A21" s="605">
        <v>2200</v>
      </c>
      <c r="B21" s="615" t="s">
        <v>252</v>
      </c>
      <c r="C21" s="616">
        <v>19421</v>
      </c>
      <c r="D21" s="606"/>
      <c r="E21" s="606"/>
      <c r="F21" s="594"/>
      <c r="G21" s="594"/>
      <c r="H21" s="594"/>
      <c r="I21" s="594"/>
      <c r="J21" s="594"/>
    </row>
    <row r="22" spans="1:10" ht="15">
      <c r="A22" s="605">
        <v>2300</v>
      </c>
      <c r="B22" s="615" t="s">
        <v>253</v>
      </c>
      <c r="C22" s="616">
        <v>41390</v>
      </c>
      <c r="D22" s="606"/>
      <c r="E22" s="606"/>
      <c r="F22" s="594"/>
      <c r="G22" s="594"/>
      <c r="H22" s="594"/>
      <c r="I22" s="594"/>
      <c r="J22" s="594"/>
    </row>
    <row r="23" spans="1:10" ht="12.75">
      <c r="A23" s="605">
        <v>2400</v>
      </c>
      <c r="B23" s="615" t="s">
        <v>254</v>
      </c>
      <c r="C23" s="616">
        <v>25326</v>
      </c>
      <c r="D23" s="599"/>
      <c r="E23" s="599"/>
      <c r="F23" s="594"/>
      <c r="G23" s="594"/>
      <c r="H23" s="594"/>
      <c r="I23" s="594"/>
      <c r="J23" s="594"/>
    </row>
    <row r="24" spans="1:10" ht="12.75">
      <c r="A24" s="605">
        <v>2500</v>
      </c>
      <c r="B24" s="615" t="s">
        <v>255</v>
      </c>
      <c r="C24" s="616">
        <v>28205</v>
      </c>
      <c r="D24" s="599"/>
      <c r="E24" s="599"/>
      <c r="F24" s="594"/>
      <c r="G24" s="594"/>
      <c r="H24" s="594"/>
      <c r="I24" s="594"/>
      <c r="J24" s="594"/>
    </row>
    <row r="25" spans="1:10" ht="15">
      <c r="A25" s="605">
        <v>2600</v>
      </c>
      <c r="B25" s="615" t="s">
        <v>256</v>
      </c>
      <c r="C25" s="616">
        <v>67118</v>
      </c>
      <c r="D25" s="607"/>
      <c r="E25" s="607"/>
      <c r="F25" s="594"/>
      <c r="G25" s="594"/>
      <c r="H25" s="594"/>
      <c r="I25" s="594"/>
      <c r="J25" s="594"/>
    </row>
    <row r="26" spans="1:10" ht="15">
      <c r="A26" s="605">
        <v>2700</v>
      </c>
      <c r="B26" s="615" t="s">
        <v>257</v>
      </c>
      <c r="C26" s="616">
        <v>55050</v>
      </c>
      <c r="D26" s="606"/>
      <c r="E26" s="606"/>
      <c r="F26" s="594"/>
      <c r="G26" s="594"/>
      <c r="H26" s="594"/>
      <c r="I26" s="594"/>
      <c r="J26" s="594"/>
    </row>
    <row r="27" spans="1:10" ht="15">
      <c r="A27" s="605">
        <v>2800</v>
      </c>
      <c r="B27" s="615" t="s">
        <v>258</v>
      </c>
      <c r="C27" s="616">
        <v>30439</v>
      </c>
      <c r="D27" s="606"/>
      <c r="E27" s="606"/>
      <c r="F27" s="594"/>
      <c r="G27" s="594"/>
      <c r="H27" s="594"/>
      <c r="I27" s="594"/>
      <c r="J27" s="594"/>
    </row>
    <row r="28" spans="1:10" ht="15">
      <c r="A28" s="605">
        <v>3100</v>
      </c>
      <c r="B28" s="615" t="s">
        <v>259</v>
      </c>
      <c r="C28" s="616">
        <v>46951</v>
      </c>
      <c r="D28" s="606"/>
      <c r="E28" s="606"/>
      <c r="F28" s="594"/>
      <c r="G28" s="594"/>
      <c r="H28" s="594"/>
      <c r="I28" s="594"/>
      <c r="J28" s="594"/>
    </row>
    <row r="29" spans="1:10" ht="12.75">
      <c r="A29" s="605">
        <v>4100</v>
      </c>
      <c r="B29" s="615" t="s">
        <v>260</v>
      </c>
      <c r="C29" s="616">
        <v>53429</v>
      </c>
      <c r="D29" s="599"/>
      <c r="E29" s="599"/>
      <c r="F29" s="594"/>
      <c r="G29" s="594"/>
      <c r="H29" s="594"/>
      <c r="I29" s="594"/>
      <c r="J29" s="594"/>
    </row>
    <row r="30" spans="1:10" ht="12.75">
      <c r="A30" s="605">
        <v>4300</v>
      </c>
      <c r="B30" s="615" t="s">
        <v>261</v>
      </c>
      <c r="C30" s="616">
        <v>31667</v>
      </c>
      <c r="D30" s="599"/>
      <c r="E30" s="599"/>
      <c r="F30" s="594"/>
      <c r="G30" s="594"/>
      <c r="H30" s="594"/>
      <c r="I30" s="594"/>
      <c r="J30" s="594"/>
    </row>
    <row r="31" spans="1:10" ht="12.75">
      <c r="A31" s="605">
        <v>5100</v>
      </c>
      <c r="B31" s="618" t="s">
        <v>262</v>
      </c>
      <c r="C31" s="617">
        <v>15085</v>
      </c>
      <c r="D31" s="599"/>
      <c r="E31" s="599"/>
      <c r="F31" s="594"/>
      <c r="G31" s="594"/>
      <c r="H31" s="594"/>
      <c r="I31" s="594"/>
      <c r="J31" s="594"/>
    </row>
    <row r="32" spans="1:10" ht="12.75">
      <c r="A32" s="605">
        <v>5200</v>
      </c>
      <c r="B32" s="618" t="s">
        <v>263</v>
      </c>
      <c r="C32" s="617">
        <v>3345</v>
      </c>
      <c r="D32" s="599"/>
      <c r="E32" s="599"/>
      <c r="F32" s="594"/>
      <c r="G32" s="594"/>
      <c r="H32" s="594"/>
      <c r="I32" s="594"/>
      <c r="J32" s="594"/>
    </row>
    <row r="33" spans="1:10" ht="15">
      <c r="A33" s="605">
        <v>5300</v>
      </c>
      <c r="B33" s="618" t="s">
        <v>264</v>
      </c>
      <c r="C33" s="617">
        <v>4895</v>
      </c>
      <c r="D33" s="608"/>
      <c r="E33" s="608"/>
      <c r="F33" s="594"/>
      <c r="G33" s="594"/>
      <c r="H33" s="594"/>
      <c r="I33" s="594"/>
      <c r="J33" s="594"/>
    </row>
    <row r="34" spans="1:10" ht="12.75">
      <c r="A34" s="605">
        <v>5400</v>
      </c>
      <c r="B34" s="618" t="s">
        <v>265</v>
      </c>
      <c r="C34" s="617">
        <v>7202</v>
      </c>
      <c r="D34" s="599"/>
      <c r="E34" s="599"/>
      <c r="F34" s="594"/>
      <c r="G34" s="594"/>
      <c r="H34" s="594"/>
      <c r="I34" s="594"/>
      <c r="J34" s="594"/>
    </row>
    <row r="35" spans="1:10" ht="15">
      <c r="A35" s="605">
        <v>5500</v>
      </c>
      <c r="B35" s="618" t="s">
        <v>266</v>
      </c>
      <c r="C35" s="617">
        <v>6143</v>
      </c>
      <c r="D35" s="606"/>
      <c r="E35" s="606"/>
      <c r="F35" s="594"/>
      <c r="G35" s="594"/>
      <c r="H35" s="594"/>
      <c r="I35" s="594"/>
      <c r="J35" s="594"/>
    </row>
    <row r="36" spans="1:10" ht="15.75" thickBot="1">
      <c r="A36" s="609">
        <v>5600</v>
      </c>
      <c r="B36" s="619" t="s">
        <v>318</v>
      </c>
      <c r="C36" s="620">
        <v>5669</v>
      </c>
      <c r="D36" s="607"/>
      <c r="E36" s="607"/>
      <c r="F36" s="594"/>
      <c r="G36" s="594"/>
      <c r="H36" s="594"/>
      <c r="I36" s="594"/>
      <c r="J36" s="594"/>
    </row>
    <row r="37" spans="1:10" ht="15" thickBot="1">
      <c r="A37" s="1200" t="s">
        <v>33</v>
      </c>
      <c r="B37" s="1201"/>
      <c r="C37" s="621">
        <f>SUM(C11:C36)</f>
        <v>1035002</v>
      </c>
      <c r="D37" s="610"/>
      <c r="E37" s="610"/>
      <c r="F37" s="594"/>
      <c r="G37" s="594"/>
      <c r="H37" s="594"/>
      <c r="I37" s="594"/>
      <c r="J37" s="594"/>
    </row>
    <row r="38" spans="1:10" ht="12.75">
      <c r="A38" s="599"/>
      <c r="B38" s="599"/>
      <c r="C38" s="599"/>
      <c r="D38" s="599"/>
      <c r="E38" s="599"/>
      <c r="F38" s="594"/>
      <c r="G38" s="594"/>
      <c r="H38" s="594"/>
      <c r="I38" s="594"/>
      <c r="J38" s="594"/>
    </row>
    <row r="39" spans="1:10" ht="12.75">
      <c r="A39" s="599"/>
      <c r="B39" s="599"/>
      <c r="C39" s="599"/>
      <c r="D39" s="599"/>
      <c r="E39" s="599"/>
      <c r="F39" s="594"/>
      <c r="G39" s="594"/>
      <c r="H39" s="594"/>
      <c r="I39" s="594"/>
      <c r="J39" s="594"/>
    </row>
    <row r="40" spans="1:10" ht="12.75">
      <c r="A40" s="599"/>
      <c r="B40" s="599"/>
      <c r="C40" s="599"/>
      <c r="D40" s="599"/>
      <c r="E40" s="599"/>
      <c r="F40" s="594"/>
      <c r="G40" s="594"/>
      <c r="H40" s="594"/>
      <c r="I40" s="594"/>
      <c r="J40" s="594"/>
    </row>
    <row r="41" spans="1:5" ht="12.75">
      <c r="A41" s="599"/>
      <c r="B41" s="599"/>
      <c r="C41" s="599"/>
      <c r="D41" s="599"/>
      <c r="E41" s="599"/>
    </row>
    <row r="42" spans="1:5" ht="12.75">
      <c r="A42" s="599"/>
      <c r="B42" s="599"/>
      <c r="C42" s="599"/>
      <c r="D42" s="599"/>
      <c r="E42" s="599"/>
    </row>
    <row r="43" spans="1:5" ht="12.75">
      <c r="A43" s="599"/>
      <c r="B43" s="599"/>
      <c r="C43" s="599"/>
      <c r="D43" s="599"/>
      <c r="E43" s="599"/>
    </row>
    <row r="44" spans="1:5" ht="12.75">
      <c r="A44" s="599"/>
      <c r="B44" s="599"/>
      <c r="C44" s="599"/>
      <c r="D44" s="599"/>
      <c r="E44" s="599"/>
    </row>
    <row r="45" spans="1:5" ht="12.75">
      <c r="A45" s="599"/>
      <c r="B45" s="599"/>
      <c r="C45" s="599"/>
      <c r="D45" s="599"/>
      <c r="E45" s="599"/>
    </row>
    <row r="46" spans="1:5" ht="12.75">
      <c r="A46" s="599"/>
      <c r="B46" s="599"/>
      <c r="C46" s="599"/>
      <c r="D46" s="599"/>
      <c r="E46" s="599"/>
    </row>
    <row r="47" spans="1:5" ht="12.75">
      <c r="A47" s="599"/>
      <c r="B47" s="599"/>
      <c r="C47" s="599"/>
      <c r="D47" s="599"/>
      <c r="E47" s="599"/>
    </row>
    <row r="48" spans="1:5" ht="12.75">
      <c r="A48" s="599"/>
      <c r="B48" s="599"/>
      <c r="C48" s="599"/>
      <c r="D48" s="599"/>
      <c r="E48" s="599"/>
    </row>
    <row r="49" spans="1:5" ht="12.75">
      <c r="A49" s="599"/>
      <c r="B49" s="599"/>
      <c r="C49" s="599"/>
      <c r="D49" s="599"/>
      <c r="E49" s="599"/>
    </row>
    <row r="50" spans="1:5" ht="12.75">
      <c r="A50" s="599"/>
      <c r="B50" s="599"/>
      <c r="C50" s="599"/>
      <c r="D50" s="599"/>
      <c r="E50" s="599"/>
    </row>
  </sheetData>
  <sheetProtection/>
  <mergeCells count="1">
    <mergeCell ref="A37:B37"/>
  </mergeCells>
  <printOptions/>
  <pageMargins left="0.7874015748031497" right="0.2755905511811024" top="0.7874015748031497" bottom="0.2755905511811024" header="0.2755905511811024" footer="0.196850393700787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26" customWidth="1"/>
    <col min="2" max="2" width="13.7109375" style="626" customWidth="1"/>
    <col min="3" max="3" width="12.7109375" style="626" customWidth="1"/>
    <col min="4" max="4" width="13.7109375" style="626" customWidth="1"/>
    <col min="5" max="5" width="14.7109375" style="626" customWidth="1"/>
    <col min="6" max="6" width="19.7109375" style="626" customWidth="1"/>
    <col min="7" max="7" width="15.00390625" style="626" customWidth="1"/>
    <col min="8" max="8" width="9.140625" style="626" customWidth="1"/>
    <col min="9" max="9" width="15.421875" style="626" customWidth="1"/>
    <col min="10" max="16384" width="9.140625" style="626" customWidth="1"/>
  </cols>
  <sheetData>
    <row r="1" ht="14.25">
      <c r="A1" s="974"/>
    </row>
    <row r="3" spans="1:7" ht="18" customHeight="1">
      <c r="A3" s="632" t="s">
        <v>396</v>
      </c>
      <c r="C3" s="631"/>
      <c r="D3" s="631"/>
      <c r="E3" s="631"/>
      <c r="F3" s="631"/>
      <c r="G3" s="631"/>
    </row>
    <row r="5" ht="20.25">
      <c r="A5" s="627" t="s">
        <v>395</v>
      </c>
    </row>
    <row r="6" s="628" customFormat="1" ht="13.5" thickBot="1"/>
    <row r="7" spans="1:7" ht="14.25">
      <c r="A7" s="1204" t="s">
        <v>276</v>
      </c>
      <c r="B7" s="1202" t="s">
        <v>111</v>
      </c>
      <c r="C7" s="417" t="s">
        <v>216</v>
      </c>
      <c r="D7" s="418"/>
      <c r="E7" s="418"/>
      <c r="F7" s="419"/>
      <c r="G7" s="420" t="s">
        <v>217</v>
      </c>
    </row>
    <row r="8" spans="1:7" ht="26.25" thickBot="1">
      <c r="A8" s="1205"/>
      <c r="B8" s="1203"/>
      <c r="C8" s="421" t="s">
        <v>218</v>
      </c>
      <c r="D8" s="421" t="s">
        <v>219</v>
      </c>
      <c r="E8" s="421" t="s">
        <v>220</v>
      </c>
      <c r="F8" s="421" t="s">
        <v>221</v>
      </c>
      <c r="G8" s="422" t="s">
        <v>222</v>
      </c>
    </row>
    <row r="9" spans="1:7" ht="14.25">
      <c r="A9" s="623">
        <v>11000</v>
      </c>
      <c r="B9" s="423" t="s">
        <v>223</v>
      </c>
      <c r="C9" s="424">
        <v>797897</v>
      </c>
      <c r="D9" s="424">
        <v>138393</v>
      </c>
      <c r="E9" s="424">
        <v>55357.200000000004</v>
      </c>
      <c r="F9" s="424">
        <v>853254.2</v>
      </c>
      <c r="G9" s="425">
        <f aca="true" t="shared" si="0" ref="G9:G33">ROUND($G$39/$F$35/1000*F9,0)</f>
        <v>15316</v>
      </c>
    </row>
    <row r="10" spans="1:7" ht="14.25">
      <c r="A10" s="624">
        <v>12000</v>
      </c>
      <c r="B10" s="426" t="s">
        <v>122</v>
      </c>
      <c r="C10" s="424">
        <v>437830</v>
      </c>
      <c r="D10" s="424">
        <v>23724</v>
      </c>
      <c r="E10" s="424">
        <v>9489.6</v>
      </c>
      <c r="F10" s="424">
        <v>447319.6</v>
      </c>
      <c r="G10" s="425">
        <f t="shared" si="0"/>
        <v>8029</v>
      </c>
    </row>
    <row r="11" spans="1:7" ht="14.25">
      <c r="A11" s="624">
        <v>13000</v>
      </c>
      <c r="B11" s="426" t="s">
        <v>224</v>
      </c>
      <c r="C11" s="424">
        <v>16533</v>
      </c>
      <c r="D11" s="424">
        <v>0</v>
      </c>
      <c r="E11" s="424">
        <v>0</v>
      </c>
      <c r="F11" s="424">
        <v>16533</v>
      </c>
      <c r="G11" s="425">
        <f t="shared" si="0"/>
        <v>297</v>
      </c>
    </row>
    <row r="12" spans="1:7" ht="14.25">
      <c r="A12" s="624">
        <v>14000</v>
      </c>
      <c r="B12" s="426" t="s">
        <v>106</v>
      </c>
      <c r="C12" s="424">
        <v>1584487</v>
      </c>
      <c r="D12" s="424">
        <v>104155</v>
      </c>
      <c r="E12" s="424">
        <v>41662</v>
      </c>
      <c r="F12" s="424">
        <v>1626149</v>
      </c>
      <c r="G12" s="425">
        <f t="shared" si="0"/>
        <v>29189</v>
      </c>
    </row>
    <row r="13" spans="1:7" ht="14.25">
      <c r="A13" s="624">
        <v>15000</v>
      </c>
      <c r="B13" s="426" t="s">
        <v>225</v>
      </c>
      <c r="C13" s="424">
        <v>481103</v>
      </c>
      <c r="D13" s="424">
        <v>43866</v>
      </c>
      <c r="E13" s="424">
        <v>17546.4</v>
      </c>
      <c r="F13" s="424">
        <v>498649.4</v>
      </c>
      <c r="G13" s="425">
        <f t="shared" si="0"/>
        <v>8951</v>
      </c>
    </row>
    <row r="14" spans="1:7" ht="14.25">
      <c r="A14" s="624">
        <v>16000</v>
      </c>
      <c r="B14" s="426" t="s">
        <v>226</v>
      </c>
      <c r="C14" s="424">
        <v>0</v>
      </c>
      <c r="D14" s="424">
        <v>0</v>
      </c>
      <c r="E14" s="424">
        <v>0</v>
      </c>
      <c r="F14" s="424">
        <v>0</v>
      </c>
      <c r="G14" s="425">
        <f t="shared" si="0"/>
        <v>0</v>
      </c>
    </row>
    <row r="15" spans="1:7" ht="14.25">
      <c r="A15" s="624">
        <v>17000</v>
      </c>
      <c r="B15" s="426" t="s">
        <v>125</v>
      </c>
      <c r="C15" s="424">
        <v>71653</v>
      </c>
      <c r="D15" s="424">
        <v>5124</v>
      </c>
      <c r="E15" s="424">
        <v>2049.6</v>
      </c>
      <c r="F15" s="424">
        <v>73702.6</v>
      </c>
      <c r="G15" s="425">
        <f t="shared" si="0"/>
        <v>1323</v>
      </c>
    </row>
    <row r="16" spans="1:7" ht="14.25">
      <c r="A16" s="624">
        <v>18000</v>
      </c>
      <c r="B16" s="426" t="s">
        <v>126</v>
      </c>
      <c r="C16" s="424">
        <v>30210</v>
      </c>
      <c r="D16" s="424">
        <v>0</v>
      </c>
      <c r="E16" s="424">
        <v>0</v>
      </c>
      <c r="F16" s="424">
        <v>30210</v>
      </c>
      <c r="G16" s="425">
        <f t="shared" si="0"/>
        <v>542</v>
      </c>
    </row>
    <row r="17" spans="1:7" ht="14.25">
      <c r="A17" s="624">
        <v>19000</v>
      </c>
      <c r="B17" s="426" t="s">
        <v>127</v>
      </c>
      <c r="C17" s="424">
        <v>270571</v>
      </c>
      <c r="D17" s="424">
        <v>4664</v>
      </c>
      <c r="E17" s="424">
        <v>1865.6000000000001</v>
      </c>
      <c r="F17" s="424">
        <v>272436.6</v>
      </c>
      <c r="G17" s="425">
        <f t="shared" si="0"/>
        <v>4890</v>
      </c>
    </row>
    <row r="18" spans="1:7" ht="14.25">
      <c r="A18" s="624">
        <v>21000</v>
      </c>
      <c r="B18" s="426" t="s">
        <v>128</v>
      </c>
      <c r="C18" s="424">
        <v>960921</v>
      </c>
      <c r="D18" s="424">
        <v>140109</v>
      </c>
      <c r="E18" s="424">
        <v>56043.600000000006</v>
      </c>
      <c r="F18" s="424">
        <v>1016964.6</v>
      </c>
      <c r="G18" s="425">
        <f t="shared" si="0"/>
        <v>18255</v>
      </c>
    </row>
    <row r="19" spans="1:7" ht="14.25">
      <c r="A19" s="624">
        <v>22000</v>
      </c>
      <c r="B19" s="426" t="s">
        <v>227</v>
      </c>
      <c r="C19" s="424">
        <v>117596</v>
      </c>
      <c r="D19" s="424">
        <v>19589</v>
      </c>
      <c r="E19" s="424">
        <v>7835.6</v>
      </c>
      <c r="F19" s="424">
        <v>125431.6</v>
      </c>
      <c r="G19" s="425">
        <f t="shared" si="0"/>
        <v>2251</v>
      </c>
    </row>
    <row r="20" spans="1:7" ht="14.25">
      <c r="A20" s="624">
        <v>23000</v>
      </c>
      <c r="B20" s="426" t="s">
        <v>228</v>
      </c>
      <c r="C20" s="424">
        <v>513868</v>
      </c>
      <c r="D20" s="424">
        <v>82611</v>
      </c>
      <c r="E20" s="424">
        <v>33044.4</v>
      </c>
      <c r="F20" s="424">
        <v>546912.4</v>
      </c>
      <c r="G20" s="425">
        <f t="shared" si="0"/>
        <v>9817</v>
      </c>
    </row>
    <row r="21" spans="1:7" ht="14.25">
      <c r="A21" s="624">
        <v>24000</v>
      </c>
      <c r="B21" s="426" t="s">
        <v>130</v>
      </c>
      <c r="C21" s="424">
        <v>215636</v>
      </c>
      <c r="D21" s="424">
        <v>19902</v>
      </c>
      <c r="E21" s="424">
        <v>7960.8</v>
      </c>
      <c r="F21" s="424">
        <v>223596.8</v>
      </c>
      <c r="G21" s="425">
        <f t="shared" si="0"/>
        <v>4014</v>
      </c>
    </row>
    <row r="22" spans="1:7" ht="14.25">
      <c r="A22" s="624">
        <v>25000</v>
      </c>
      <c r="B22" s="426" t="s">
        <v>229</v>
      </c>
      <c r="C22" s="424">
        <v>267094</v>
      </c>
      <c r="D22" s="424">
        <v>20828</v>
      </c>
      <c r="E22" s="424">
        <v>8331.2</v>
      </c>
      <c r="F22" s="424">
        <v>275425.2</v>
      </c>
      <c r="G22" s="425">
        <f t="shared" si="0"/>
        <v>4944</v>
      </c>
    </row>
    <row r="23" spans="1:7" ht="14.25">
      <c r="A23" s="624">
        <v>26000</v>
      </c>
      <c r="B23" s="426" t="s">
        <v>230</v>
      </c>
      <c r="C23" s="424">
        <v>1108017</v>
      </c>
      <c r="D23" s="424">
        <v>91878</v>
      </c>
      <c r="E23" s="424">
        <v>36751.200000000004</v>
      </c>
      <c r="F23" s="424">
        <v>1144768.2</v>
      </c>
      <c r="G23" s="425">
        <f t="shared" si="0"/>
        <v>20549</v>
      </c>
    </row>
    <row r="24" spans="1:7" ht="14.25">
      <c r="A24" s="624">
        <v>27000</v>
      </c>
      <c r="B24" s="426" t="s">
        <v>231</v>
      </c>
      <c r="C24" s="424">
        <v>234446</v>
      </c>
      <c r="D24" s="424">
        <v>121518</v>
      </c>
      <c r="E24" s="424">
        <v>48607.200000000004</v>
      </c>
      <c r="F24" s="424">
        <v>283053.2</v>
      </c>
      <c r="G24" s="425">
        <f t="shared" si="0"/>
        <v>5081</v>
      </c>
    </row>
    <row r="25" spans="1:7" ht="14.25">
      <c r="A25" s="624">
        <v>28000</v>
      </c>
      <c r="B25" s="426" t="s">
        <v>232</v>
      </c>
      <c r="C25" s="424">
        <v>187726</v>
      </c>
      <c r="D25" s="424">
        <v>24555</v>
      </c>
      <c r="E25" s="424">
        <v>9822</v>
      </c>
      <c r="F25" s="424">
        <v>197548</v>
      </c>
      <c r="G25" s="425">
        <f t="shared" si="0"/>
        <v>3546</v>
      </c>
    </row>
    <row r="26" spans="1:7" ht="14.25">
      <c r="A26" s="624">
        <v>31000</v>
      </c>
      <c r="B26" s="426" t="s">
        <v>135</v>
      </c>
      <c r="C26" s="424">
        <v>358898</v>
      </c>
      <c r="D26" s="424">
        <v>3731</v>
      </c>
      <c r="E26" s="424">
        <v>1492.4</v>
      </c>
      <c r="F26" s="424">
        <v>360390.4</v>
      </c>
      <c r="G26" s="425">
        <f t="shared" si="0"/>
        <v>6469</v>
      </c>
    </row>
    <row r="27" spans="1:7" ht="14.25">
      <c r="A27" s="624">
        <v>41000</v>
      </c>
      <c r="B27" s="426" t="s">
        <v>233</v>
      </c>
      <c r="C27" s="424">
        <v>252811</v>
      </c>
      <c r="D27" s="424">
        <v>2929</v>
      </c>
      <c r="E27" s="424">
        <v>1171.6000000000001</v>
      </c>
      <c r="F27" s="424">
        <v>253982.6</v>
      </c>
      <c r="G27" s="425">
        <f t="shared" si="0"/>
        <v>4559</v>
      </c>
    </row>
    <row r="28" spans="1:7" ht="14.25">
      <c r="A28" s="624">
        <v>43000</v>
      </c>
      <c r="B28" s="426" t="s">
        <v>137</v>
      </c>
      <c r="C28" s="424">
        <v>342809</v>
      </c>
      <c r="D28" s="424">
        <v>29105</v>
      </c>
      <c r="E28" s="424">
        <v>11642</v>
      </c>
      <c r="F28" s="424">
        <v>354451</v>
      </c>
      <c r="G28" s="425">
        <f t="shared" si="0"/>
        <v>6362</v>
      </c>
    </row>
    <row r="29" spans="1:7" ht="14.25">
      <c r="A29" s="624">
        <v>51000</v>
      </c>
      <c r="B29" s="426" t="s">
        <v>234</v>
      </c>
      <c r="C29" s="424">
        <v>0</v>
      </c>
      <c r="D29" s="424">
        <v>0</v>
      </c>
      <c r="E29" s="424">
        <v>0</v>
      </c>
      <c r="F29" s="424">
        <v>0</v>
      </c>
      <c r="G29" s="425">
        <f t="shared" si="0"/>
        <v>0</v>
      </c>
    </row>
    <row r="30" spans="1:7" ht="14.25">
      <c r="A30" s="624">
        <v>52000</v>
      </c>
      <c r="B30" s="426" t="s">
        <v>235</v>
      </c>
      <c r="C30" s="424">
        <v>0</v>
      </c>
      <c r="D30" s="424">
        <v>0</v>
      </c>
      <c r="E30" s="424">
        <v>0</v>
      </c>
      <c r="F30" s="424">
        <v>0</v>
      </c>
      <c r="G30" s="425">
        <f t="shared" si="0"/>
        <v>0</v>
      </c>
    </row>
    <row r="31" spans="1:7" ht="14.25">
      <c r="A31" s="624">
        <v>53000</v>
      </c>
      <c r="B31" s="426" t="s">
        <v>236</v>
      </c>
      <c r="C31" s="424">
        <v>0</v>
      </c>
      <c r="D31" s="424">
        <v>0</v>
      </c>
      <c r="E31" s="424">
        <v>0</v>
      </c>
      <c r="F31" s="424">
        <v>0</v>
      </c>
      <c r="G31" s="425">
        <f t="shared" si="0"/>
        <v>0</v>
      </c>
    </row>
    <row r="32" spans="1:7" ht="14.25">
      <c r="A32" s="624">
        <v>54000</v>
      </c>
      <c r="B32" s="426" t="s">
        <v>140</v>
      </c>
      <c r="C32" s="424">
        <v>0</v>
      </c>
      <c r="D32" s="424">
        <v>0</v>
      </c>
      <c r="E32" s="424">
        <v>0</v>
      </c>
      <c r="F32" s="424">
        <v>0</v>
      </c>
      <c r="G32" s="425">
        <f>ROUND($G$39/$F$35/1000*F32,0)</f>
        <v>0</v>
      </c>
    </row>
    <row r="33" spans="1:7" ht="14.25">
      <c r="A33" s="624">
        <v>55000</v>
      </c>
      <c r="B33" s="426" t="s">
        <v>237</v>
      </c>
      <c r="C33" s="424">
        <v>31157</v>
      </c>
      <c r="D33" s="424">
        <v>0</v>
      </c>
      <c r="E33" s="424">
        <v>0</v>
      </c>
      <c r="F33" s="424">
        <v>31157</v>
      </c>
      <c r="G33" s="425">
        <f t="shared" si="0"/>
        <v>559</v>
      </c>
    </row>
    <row r="34" spans="1:7" ht="15" thickBot="1">
      <c r="A34" s="625">
        <v>56000</v>
      </c>
      <c r="B34" s="427" t="s">
        <v>141</v>
      </c>
      <c r="C34" s="428">
        <v>16571</v>
      </c>
      <c r="D34" s="428">
        <v>8691</v>
      </c>
      <c r="E34" s="428">
        <v>3476.4</v>
      </c>
      <c r="F34" s="428">
        <v>20047.4</v>
      </c>
      <c r="G34" s="425">
        <f>ROUND($G$39/$F$35/1000*F34,0)</f>
        <v>360</v>
      </c>
    </row>
    <row r="35" spans="1:9" ht="15" thickBot="1">
      <c r="A35" s="629"/>
      <c r="B35" s="429" t="s">
        <v>33</v>
      </c>
      <c r="C35" s="430">
        <f>SUM(C9:C34)</f>
        <v>8297834</v>
      </c>
      <c r="D35" s="430">
        <f>SUM(D9:D34)</f>
        <v>885372</v>
      </c>
      <c r="E35" s="430">
        <f>D35*0.4</f>
        <v>354148.80000000005</v>
      </c>
      <c r="F35" s="430">
        <f>SUM(F9:F34)</f>
        <v>8651982.8</v>
      </c>
      <c r="G35" s="558">
        <f>SUM(G9:G34)</f>
        <v>155303</v>
      </c>
      <c r="I35" s="630"/>
    </row>
    <row r="36" s="628" customFormat="1" ht="13.5" thickBot="1"/>
    <row r="37" spans="1:7" ht="15" thickBot="1">
      <c r="A37" s="431" t="s">
        <v>238</v>
      </c>
      <c r="B37" s="432"/>
      <c r="C37" s="432"/>
      <c r="D37" s="432"/>
      <c r="E37" s="432"/>
      <c r="F37" s="432"/>
      <c r="G37" s="560">
        <f>G38*1000/F35</f>
        <v>17.949989452128822</v>
      </c>
    </row>
    <row r="38" spans="1:7" ht="15" thickBot="1">
      <c r="A38" s="431" t="s">
        <v>239</v>
      </c>
      <c r="B38" s="432"/>
      <c r="C38" s="432"/>
      <c r="D38" s="432"/>
      <c r="E38" s="432"/>
      <c r="F38" s="432"/>
      <c r="G38" s="559">
        <v>155303</v>
      </c>
    </row>
    <row r="39" spans="1:7" ht="15" thickBot="1">
      <c r="A39" s="431" t="s">
        <v>240</v>
      </c>
      <c r="B39" s="432"/>
      <c r="C39" s="432"/>
      <c r="D39" s="432"/>
      <c r="E39" s="432"/>
      <c r="F39" s="432"/>
      <c r="G39" s="925">
        <v>155303000</v>
      </c>
    </row>
    <row r="40" spans="3:6" ht="14.25">
      <c r="C40" s="630"/>
      <c r="D40" s="630"/>
      <c r="E40" s="630"/>
      <c r="F40" s="630"/>
    </row>
  </sheetData>
  <sheetProtection/>
  <mergeCells count="2">
    <mergeCell ref="B7:B8"/>
    <mergeCell ref="A7:A8"/>
  </mergeCells>
  <printOptions horizontalCentered="1"/>
  <pageMargins left="0.3937007874015748" right="0.3937007874015748" top="0.72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Uldrichová Marie</cp:lastModifiedBy>
  <cp:lastPrinted>2014-02-06T08:55:11Z</cp:lastPrinted>
  <dcterms:created xsi:type="dcterms:W3CDTF">2014-01-08T09:09:36Z</dcterms:created>
  <dcterms:modified xsi:type="dcterms:W3CDTF">2014-02-06T08:57:22Z</dcterms:modified>
  <cp:category/>
  <cp:version/>
  <cp:contentType/>
  <cp:contentStatus/>
</cp:coreProperties>
</file>