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21\KN_2021\"/>
    </mc:Choice>
  </mc:AlternateContent>
  <xr:revisionPtr revIDLastSave="0" documentId="13_ncr:1_{6B8B3471-5C3B-4780-9E22-47174888AD82}" xr6:coauthVersionLast="36" xr6:coauthVersionMax="36" xr10:uidLastSave="{00000000-0000-0000-0000-000000000000}"/>
  <bookViews>
    <workbookView xWindow="120" yWindow="5910" windowWidth="25095" windowHeight="6045" activeTab="1" xr2:uid="{00000000-000D-0000-FFFF-FFFF00000000}"/>
  </bookViews>
  <sheets>
    <sheet name="titul" sheetId="7" r:id="rId1"/>
    <sheet name="DD 2021" sheetId="4" r:id="rId2"/>
    <sheet name="DD se školou 2021 " sheetId="6" r:id="rId3"/>
  </sheets>
  <definedNames>
    <definedName name="_xlnm.Print_Titles" localSheetId="1">'DD 2021'!$1:$6</definedName>
    <definedName name="_xlnm.Print_Titles" localSheetId="2">'DD se školou 2021 '!$1:$6</definedName>
  </definedNames>
  <calcPr calcId="191029"/>
</workbook>
</file>

<file path=xl/calcChain.xml><?xml version="1.0" encoding="utf-8"?>
<calcChain xmlns="http://schemas.openxmlformats.org/spreadsheetml/2006/main">
  <c r="P16" i="6" l="1"/>
  <c r="O16" i="6"/>
  <c r="P14" i="6"/>
  <c r="O14" i="6"/>
  <c r="U16" i="4" l="1"/>
  <c r="U14" i="4"/>
  <c r="T16" i="4"/>
  <c r="T14" i="4"/>
  <c r="L13" i="4" l="1"/>
  <c r="K13" i="4"/>
  <c r="H13" i="4"/>
  <c r="I13" i="4"/>
  <c r="P11" i="6" l="1"/>
  <c r="P12" i="6"/>
  <c r="Y16" i="4"/>
  <c r="Y12" i="4" s="1"/>
  <c r="W16" i="4"/>
  <c r="W12" i="4" s="1"/>
  <c r="Y14" i="4"/>
  <c r="Y11" i="4" s="1"/>
  <c r="W14" i="4"/>
  <c r="W11" i="4" s="1"/>
  <c r="V16" i="4"/>
  <c r="V12" i="4" s="1"/>
  <c r="V14" i="4"/>
  <c r="V11" i="4" s="1"/>
  <c r="X11" i="4"/>
  <c r="X12" i="4"/>
  <c r="X9" i="4" s="1"/>
  <c r="P9" i="6" l="1"/>
  <c r="O11" i="6"/>
  <c r="O12" i="6"/>
  <c r="P10" i="6"/>
  <c r="P8" i="6" s="1"/>
  <c r="Y9" i="4"/>
  <c r="Y10" i="4" s="1"/>
  <c r="V9" i="4"/>
  <c r="W9" i="4"/>
  <c r="X10" i="4"/>
  <c r="X8" i="4" s="1"/>
  <c r="O9" i="6" l="1"/>
  <c r="Y8" i="4"/>
  <c r="V10" i="4"/>
  <c r="V8" i="4" s="1"/>
  <c r="W10" i="4"/>
  <c r="W8" i="4" s="1"/>
  <c r="O10" i="6" l="1"/>
  <c r="O8" i="6" s="1"/>
  <c r="L16" i="4"/>
  <c r="L14" i="4"/>
  <c r="K16" i="4"/>
  <c r="K14" i="4"/>
  <c r="I16" i="4"/>
  <c r="I14" i="4"/>
  <c r="H16" i="4"/>
  <c r="H14" i="4"/>
  <c r="T12" i="4" l="1"/>
  <c r="T11" i="4"/>
  <c r="U11" i="4"/>
  <c r="U12" i="4"/>
  <c r="U9" i="4" l="1"/>
  <c r="U10" i="4" s="1"/>
  <c r="U8" i="4" s="1"/>
  <c r="T9" i="4"/>
  <c r="T10" i="4" s="1"/>
  <c r="T8" i="4" s="1"/>
  <c r="N16" i="4" l="1"/>
  <c r="N12" i="4" s="1"/>
  <c r="N14" i="4"/>
  <c r="N11" i="4" s="1"/>
  <c r="N9" i="4" s="1"/>
  <c r="N10" i="4" s="1"/>
  <c r="N8" i="4" l="1"/>
  <c r="H11" i="4"/>
  <c r="I11" i="4"/>
  <c r="J11" i="4"/>
  <c r="K11" i="4"/>
  <c r="L11" i="4"/>
  <c r="H12" i="4"/>
  <c r="I12" i="4"/>
  <c r="J12" i="4"/>
  <c r="K12" i="4"/>
  <c r="L12" i="4"/>
  <c r="L9" i="4" l="1"/>
  <c r="J9" i="4"/>
  <c r="I9" i="4"/>
  <c r="H9" i="4"/>
  <c r="H10" i="4" s="1"/>
  <c r="K9" i="4"/>
  <c r="C12" i="4"/>
  <c r="I10" i="4" l="1"/>
  <c r="J10" i="4"/>
  <c r="J8" i="4" s="1"/>
  <c r="L10" i="4"/>
  <c r="L8" i="4" s="1"/>
  <c r="K10" i="4"/>
  <c r="A1" i="6" l="1"/>
  <c r="N12" i="6" l="1"/>
  <c r="L12" i="6"/>
  <c r="G12" i="6"/>
  <c r="N11" i="6"/>
  <c r="L11" i="6"/>
  <c r="G11" i="6"/>
  <c r="G9" i="6" l="1"/>
  <c r="N9" i="6"/>
  <c r="N10" i="6" s="1"/>
  <c r="L9" i="6"/>
  <c r="N8" i="6" l="1"/>
  <c r="G10" i="6"/>
  <c r="L10" i="6"/>
  <c r="L8" i="6" s="1"/>
  <c r="G8" i="6" l="1"/>
  <c r="C11" i="4"/>
  <c r="C9" i="4" s="1"/>
  <c r="C10" i="4" s="1"/>
  <c r="C8" i="4" s="1"/>
  <c r="D11" i="4"/>
  <c r="E11" i="4"/>
  <c r="F11" i="4"/>
  <c r="G11" i="4"/>
  <c r="M11" i="4"/>
  <c r="O11" i="4"/>
  <c r="P11" i="4"/>
  <c r="Q11" i="4"/>
  <c r="R11" i="4"/>
  <c r="S11" i="4"/>
  <c r="D12" i="4"/>
  <c r="E12" i="4"/>
  <c r="F12" i="4"/>
  <c r="G12" i="4"/>
  <c r="M12" i="4"/>
  <c r="O12" i="4"/>
  <c r="P12" i="4"/>
  <c r="Q12" i="4"/>
  <c r="R12" i="4"/>
  <c r="S12" i="4"/>
  <c r="B11" i="4"/>
  <c r="B12" i="4"/>
  <c r="P9" i="4" l="1"/>
  <c r="P10" i="4" s="1"/>
  <c r="P8" i="4" s="1"/>
  <c r="O9" i="4"/>
  <c r="O10" i="4" s="1"/>
  <c r="O8" i="4" s="1"/>
  <c r="Q9" i="4"/>
  <c r="Q10" i="4" s="1"/>
  <c r="Q8" i="4" s="1"/>
  <c r="D9" i="4"/>
  <c r="D10" i="4" s="1"/>
  <c r="D8" i="4" s="1"/>
  <c r="M9" i="4"/>
  <c r="M10" i="4" s="1"/>
  <c r="M8" i="4" s="1"/>
  <c r="B9" i="4"/>
  <c r="G9" i="4"/>
  <c r="S9" i="4"/>
  <c r="S10" i="4" s="1"/>
  <c r="S8" i="4" s="1"/>
  <c r="F9" i="4"/>
  <c r="R9" i="4"/>
  <c r="E9" i="4"/>
  <c r="R10" i="4" l="1"/>
  <c r="R8" i="4" s="1"/>
  <c r="F10" i="4"/>
  <c r="F8" i="4" s="1"/>
  <c r="G10" i="4"/>
  <c r="G8" i="4" s="1"/>
  <c r="B10" i="4"/>
  <c r="B8" i="4" s="1"/>
  <c r="E10" i="4"/>
  <c r="E8" i="4" s="1"/>
  <c r="K8" i="4" l="1"/>
  <c r="I8" i="4"/>
  <c r="H8" i="4"/>
</calcChain>
</file>

<file path=xl/sharedStrings.xml><?xml version="1.0" encoding="utf-8"?>
<sst xmlns="http://schemas.openxmlformats.org/spreadsheetml/2006/main" count="224" uniqueCount="52">
  <si>
    <t>Odvody</t>
  </si>
  <si>
    <t>NIV celkem</t>
  </si>
  <si>
    <t>Jihočeský</t>
  </si>
  <si>
    <t>Plzeňský</t>
  </si>
  <si>
    <t>CZ010</t>
  </si>
  <si>
    <t>CZ020</t>
  </si>
  <si>
    <t>CZ031</t>
  </si>
  <si>
    <t>CZ032</t>
  </si>
  <si>
    <t>CZ041</t>
  </si>
  <si>
    <t>CZ042</t>
  </si>
  <si>
    <t>CZ051</t>
  </si>
  <si>
    <t>CZ052</t>
  </si>
  <si>
    <t>CZ053</t>
  </si>
  <si>
    <t>CZ063</t>
  </si>
  <si>
    <t>CZ064</t>
  </si>
  <si>
    <t>CZ071</t>
  </si>
  <si>
    <t>CZ072</t>
  </si>
  <si>
    <t>CZ080</t>
  </si>
  <si>
    <t>Hl. m. Praha</t>
  </si>
  <si>
    <t>Středočeský</t>
  </si>
  <si>
    <t xml:space="preserve">Karlovarský </t>
  </si>
  <si>
    <t xml:space="preserve">Ústecký  </t>
  </si>
  <si>
    <t>Liberecký</t>
  </si>
  <si>
    <t>Pardubický</t>
  </si>
  <si>
    <t>Vysočina</t>
  </si>
  <si>
    <t>Jihomoravský</t>
  </si>
  <si>
    <t>Olomoucký</t>
  </si>
  <si>
    <t>Zlínský</t>
  </si>
  <si>
    <t>ONIV celkem</t>
  </si>
  <si>
    <t>Králové hradecký</t>
  </si>
  <si>
    <t>Moravsko slezský</t>
  </si>
  <si>
    <t>Np</t>
  </si>
  <si>
    <t>Pp</t>
  </si>
  <si>
    <t>No</t>
  </si>
  <si>
    <t>Po</t>
  </si>
  <si>
    <t>x</t>
  </si>
  <si>
    <t>Dětský domov DD - rodinná skupina (v Kč/rodinnou skupinu)</t>
  </si>
  <si>
    <t>MP bez odv.</t>
  </si>
  <si>
    <t>MPP bez odv.</t>
  </si>
  <si>
    <t>MPN bez odv.</t>
  </si>
  <si>
    <t>Krajské normativy v roce 2021</t>
  </si>
  <si>
    <t>počet rodinných skupin</t>
  </si>
  <si>
    <t>Dětský domov se školou - rodinná skupina (v Kč/rodinnou skupinu)</t>
  </si>
  <si>
    <t>Č.j.: MSMT-10158/2021-1</t>
  </si>
  <si>
    <t>Porovnání krajských normativů mzdových prostředků a ostatních neinvestičních výdajů</t>
  </si>
  <si>
    <t>stanovených jednotlivými krajskými úřady pro krajské a obecní školství v roce 2021</t>
  </si>
  <si>
    <t>Příloha č. 7</t>
  </si>
  <si>
    <t>DĚTSKÉ DOMOVY</t>
  </si>
  <si>
    <t>5 a 6</t>
  </si>
  <si>
    <t>DĚTSKÉ DOMOVY SE ŠKOLOU</t>
  </si>
  <si>
    <t>Rodinné skupiny dětských domovů/dětských domovů se školou</t>
  </si>
  <si>
    <t>počet normativů
v daném kraji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</si>
</sst>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8"/>
      <color rgb="FF00000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/>
    </xf>
    <xf numFmtId="0" fontId="0" fillId="12" borderId="1" xfId="0" applyFont="1" applyFill="1" applyBorder="1" applyAlignment="1">
      <alignment horizontal="center" vertical="center"/>
    </xf>
    <xf numFmtId="0" fontId="0" fillId="13" borderId="1" xfId="0" applyFont="1" applyFill="1" applyBorder="1" applyAlignment="1">
      <alignment horizontal="center" vertical="center"/>
    </xf>
    <xf numFmtId="0" fontId="0" fillId="14" borderId="1" xfId="0" applyFont="1" applyFill="1" applyBorder="1" applyAlignment="1">
      <alignment horizontal="center" vertical="center"/>
    </xf>
    <xf numFmtId="0" fontId="0" fillId="15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3" fontId="1" fillId="0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/>
    </xf>
    <xf numFmtId="3" fontId="0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/>
    </xf>
    <xf numFmtId="164" fontId="1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0" xfId="0" applyFont="1" applyBorder="1" applyAlignment="1">
      <alignment vertical="center"/>
    </xf>
    <xf numFmtId="3" fontId="1" fillId="0" borderId="0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F0163-5DA6-434F-BB01-418504AE25C0}">
  <dimension ref="A2:A47"/>
  <sheetViews>
    <sheetView workbookViewId="0">
      <selection activeCell="A25" sqref="A25"/>
    </sheetView>
  </sheetViews>
  <sheetFormatPr defaultRowHeight="15" x14ac:dyDescent="0.25"/>
  <cols>
    <col min="1" max="1" width="83.85546875" style="37" customWidth="1"/>
  </cols>
  <sheetData>
    <row r="2" spans="1:1" x14ac:dyDescent="0.25">
      <c r="A2" s="34" t="s">
        <v>43</v>
      </c>
    </row>
    <row r="15" spans="1:1" ht="36" x14ac:dyDescent="0.25">
      <c r="A15" s="38" t="s">
        <v>47</v>
      </c>
    </row>
    <row r="16" spans="1:1" ht="36" x14ac:dyDescent="0.25">
      <c r="A16" s="38" t="s">
        <v>49</v>
      </c>
    </row>
    <row r="19" spans="1:1" ht="18.75" x14ac:dyDescent="0.3">
      <c r="A19" s="35" t="s">
        <v>50</v>
      </c>
    </row>
    <row r="21" spans="1:1" ht="18.75" x14ac:dyDescent="0.3">
      <c r="A21" s="35" t="s">
        <v>46</v>
      </c>
    </row>
    <row r="46" spans="1:1" x14ac:dyDescent="0.25">
      <c r="A46" s="36" t="s">
        <v>44</v>
      </c>
    </row>
    <row r="47" spans="1:1" x14ac:dyDescent="0.25">
      <c r="A47" s="37" t="s">
        <v>45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7E83E-3137-43E1-9025-BD647D6AF375}">
  <dimension ref="A1:AY20"/>
  <sheetViews>
    <sheetView tabSelected="1" workbookViewId="0">
      <pane ySplit="6" topLeftCell="A7" activePane="bottomLeft" state="frozen"/>
      <selection pane="bottomLeft" activeCell="K29" sqref="K29"/>
    </sheetView>
  </sheetViews>
  <sheetFormatPr defaultRowHeight="15" x14ac:dyDescent="0.25"/>
  <cols>
    <col min="1" max="1" width="13" style="17" customWidth="1"/>
    <col min="2" max="2" width="9.42578125" style="17" customWidth="1"/>
    <col min="3" max="3" width="9.28515625" style="17" customWidth="1"/>
    <col min="4" max="4" width="9.42578125" style="17" customWidth="1"/>
    <col min="5" max="5" width="9" style="17" customWidth="1"/>
    <col min="6" max="6" width="8.7109375" style="17" customWidth="1"/>
    <col min="7" max="7" width="8.5703125" style="17" customWidth="1"/>
    <col min="8" max="14" width="9.28515625" style="17" customWidth="1"/>
    <col min="15" max="15" width="8.7109375" style="17" customWidth="1"/>
    <col min="16" max="16" width="8.85546875" style="17" customWidth="1"/>
    <col min="17" max="17" width="8.7109375" style="17" customWidth="1"/>
    <col min="18" max="25" width="8.5703125" style="17" customWidth="1"/>
    <col min="26" max="27" width="9.140625" style="17"/>
    <col min="28" max="42" width="6" style="17" customWidth="1"/>
    <col min="43" max="16384" width="9.140625" style="17"/>
  </cols>
  <sheetData>
    <row r="1" spans="1:51" ht="18.75" x14ac:dyDescent="0.25">
      <c r="A1" s="50" t="s">
        <v>40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</row>
    <row r="2" spans="1:51" ht="18.75" x14ac:dyDescent="0.25">
      <c r="A2" s="50" t="s">
        <v>36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51" ht="15.75" customHeight="1" x14ac:dyDescent="0.25">
      <c r="A3" s="29"/>
      <c r="B3" s="29"/>
      <c r="C3" s="29"/>
      <c r="D3" s="29"/>
      <c r="E3" s="29"/>
      <c r="F3" s="29"/>
      <c r="G3" s="29"/>
      <c r="H3" s="39"/>
      <c r="I3" s="39"/>
      <c r="J3" s="39"/>
      <c r="K3" s="39"/>
      <c r="L3" s="39"/>
      <c r="M3" s="29"/>
      <c r="N3" s="39"/>
      <c r="O3" s="29"/>
      <c r="P3" s="29"/>
      <c r="Q3" s="29"/>
      <c r="R3" s="29"/>
      <c r="S3" s="29"/>
      <c r="T3" s="39"/>
      <c r="U3" s="39"/>
      <c r="V3" s="41"/>
      <c r="W3" s="41"/>
      <c r="X3" s="41"/>
      <c r="Y3" s="41"/>
    </row>
    <row r="4" spans="1:51" s="25" customFormat="1" ht="15.75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</row>
    <row r="5" spans="1:51" s="15" customFormat="1" ht="15" customHeight="1" x14ac:dyDescent="0.25">
      <c r="A5" s="51"/>
      <c r="B5" s="1" t="s">
        <v>4</v>
      </c>
      <c r="C5" s="2" t="s">
        <v>5</v>
      </c>
      <c r="D5" s="3" t="s">
        <v>6</v>
      </c>
      <c r="E5" s="4" t="s">
        <v>7</v>
      </c>
      <c r="F5" s="5" t="s">
        <v>8</v>
      </c>
      <c r="G5" s="6" t="s">
        <v>9</v>
      </c>
      <c r="H5" s="7" t="s">
        <v>10</v>
      </c>
      <c r="I5" s="7" t="s">
        <v>10</v>
      </c>
      <c r="J5" s="7" t="s">
        <v>10</v>
      </c>
      <c r="K5" s="7" t="s">
        <v>10</v>
      </c>
      <c r="L5" s="7" t="s">
        <v>10</v>
      </c>
      <c r="M5" s="8" t="s">
        <v>11</v>
      </c>
      <c r="N5" s="8" t="s">
        <v>11</v>
      </c>
      <c r="O5" s="9" t="s">
        <v>12</v>
      </c>
      <c r="P5" s="10" t="s">
        <v>13</v>
      </c>
      <c r="Q5" s="11" t="s">
        <v>14</v>
      </c>
      <c r="R5" s="12" t="s">
        <v>15</v>
      </c>
      <c r="S5" s="13" t="s">
        <v>16</v>
      </c>
      <c r="T5" s="13" t="s">
        <v>16</v>
      </c>
      <c r="U5" s="13" t="s">
        <v>16</v>
      </c>
      <c r="V5" s="14" t="s">
        <v>17</v>
      </c>
      <c r="W5" s="14" t="s">
        <v>17</v>
      </c>
      <c r="X5" s="14" t="s">
        <v>17</v>
      </c>
      <c r="Y5" s="14" t="s">
        <v>17</v>
      </c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</row>
    <row r="6" spans="1:51" s="15" customFormat="1" ht="71.25" customHeight="1" x14ac:dyDescent="0.25">
      <c r="A6" s="51"/>
      <c r="B6" s="28" t="s">
        <v>18</v>
      </c>
      <c r="C6" s="28" t="s">
        <v>19</v>
      </c>
      <c r="D6" s="28" t="s">
        <v>2</v>
      </c>
      <c r="E6" s="28" t="s">
        <v>3</v>
      </c>
      <c r="F6" s="28" t="s">
        <v>20</v>
      </c>
      <c r="G6" s="28" t="s">
        <v>21</v>
      </c>
      <c r="H6" s="40" t="s">
        <v>22</v>
      </c>
      <c r="I6" s="40" t="s">
        <v>22</v>
      </c>
      <c r="J6" s="40" t="s">
        <v>22</v>
      </c>
      <c r="K6" s="40" t="s">
        <v>22</v>
      </c>
      <c r="L6" s="40" t="s">
        <v>22</v>
      </c>
      <c r="M6" s="28" t="s">
        <v>29</v>
      </c>
      <c r="N6" s="40" t="s">
        <v>29</v>
      </c>
      <c r="O6" s="28" t="s">
        <v>23</v>
      </c>
      <c r="P6" s="28" t="s">
        <v>24</v>
      </c>
      <c r="Q6" s="28" t="s">
        <v>25</v>
      </c>
      <c r="R6" s="28" t="s">
        <v>26</v>
      </c>
      <c r="S6" s="28" t="s">
        <v>27</v>
      </c>
      <c r="T6" s="40" t="s">
        <v>27</v>
      </c>
      <c r="U6" s="40" t="s">
        <v>27</v>
      </c>
      <c r="V6" s="42" t="s">
        <v>30</v>
      </c>
      <c r="W6" s="42" t="s">
        <v>30</v>
      </c>
      <c r="X6" s="42" t="s">
        <v>30</v>
      </c>
      <c r="Y6" s="42" t="s">
        <v>30</v>
      </c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</row>
    <row r="7" spans="1:51" s="15" customFormat="1" ht="47.25" customHeight="1" x14ac:dyDescent="0.25">
      <c r="A7" s="31" t="s">
        <v>41</v>
      </c>
      <c r="B7" s="40"/>
      <c r="C7" s="40"/>
      <c r="D7" s="40"/>
      <c r="E7" s="40"/>
      <c r="F7" s="40"/>
      <c r="G7" s="40"/>
      <c r="H7" s="7">
        <v>2</v>
      </c>
      <c r="I7" s="7">
        <v>3</v>
      </c>
      <c r="J7" s="7">
        <v>4</v>
      </c>
      <c r="K7" s="7">
        <v>5</v>
      </c>
      <c r="L7" s="7">
        <v>6</v>
      </c>
      <c r="M7" s="8"/>
      <c r="N7" s="8">
        <v>2</v>
      </c>
      <c r="O7" s="40"/>
      <c r="P7" s="40"/>
      <c r="Q7" s="40"/>
      <c r="R7" s="40"/>
      <c r="S7" s="13"/>
      <c r="T7" s="13">
        <v>3</v>
      </c>
      <c r="U7" s="13">
        <v>4</v>
      </c>
      <c r="V7" s="14">
        <v>3</v>
      </c>
      <c r="W7" s="14">
        <v>4</v>
      </c>
      <c r="X7" s="14" t="s">
        <v>48</v>
      </c>
      <c r="Y7" s="14">
        <v>7</v>
      </c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</row>
    <row r="8" spans="1:51" x14ac:dyDescent="0.25">
      <c r="A8" s="22" t="s">
        <v>1</v>
      </c>
      <c r="B8" s="18">
        <f>SUM(B9:B10)+B13</f>
        <v>3752488</v>
      </c>
      <c r="C8" s="18">
        <f t="shared" ref="C8" si="0">IFERROR((SUM(C9:C10)+C13),"x")</f>
        <v>3803639.2479999997</v>
      </c>
      <c r="D8" s="18">
        <f t="shared" ref="D8" si="1">IFERROR((SUM(D9:D10)+D13),"x")</f>
        <v>3336807.24</v>
      </c>
      <c r="E8" s="18">
        <f t="shared" ref="E8" si="2">IFERROR((SUM(E9:E10)+E13),"x")</f>
        <v>3668403.9814814813</v>
      </c>
      <c r="F8" s="18">
        <f t="shared" ref="F8" si="3">IFERROR((SUM(F9:F10)+F13),"x")</f>
        <v>3439862.1085199332</v>
      </c>
      <c r="G8" s="18">
        <f t="shared" ref="G8" si="4">IFERROR((SUM(G9:G10)+G13),"x")</f>
        <v>3027949.8787878789</v>
      </c>
      <c r="H8" s="18">
        <f t="shared" ref="H8:K8" si="5">IFERROR((SUM(H9:H10)+H13),"x")</f>
        <v>4161022.9438251532</v>
      </c>
      <c r="I8" s="18">
        <f t="shared" si="5"/>
        <v>3969554.7016135878</v>
      </c>
      <c r="J8" s="18">
        <f t="shared" si="5"/>
        <v>3732682.3466666662</v>
      </c>
      <c r="K8" s="18">
        <f t="shared" si="5"/>
        <v>3471394.5824000002</v>
      </c>
      <c r="L8" s="18">
        <f>IFERROR((SUM(L9:L10)+L13),"x")</f>
        <v>3359414.1119999997</v>
      </c>
      <c r="M8" s="18">
        <f t="shared" ref="M8" si="6">IFERROR((SUM(M9:M10)+M13),"x")</f>
        <v>3509525.0989010981</v>
      </c>
      <c r="N8" s="18">
        <f>IFERROR((SUM(N9:N10)+N13),"x")</f>
        <v>4199922.9186813189</v>
      </c>
      <c r="O8" s="18">
        <f t="shared" ref="O8" si="7">IFERROR((SUM(O9:O10)+O13),"x")</f>
        <v>3336304.4319909886</v>
      </c>
      <c r="P8" s="18">
        <f t="shared" ref="P8" si="8">IFERROR((SUM(P9:P10)+P13),"x")</f>
        <v>3607109.2640539273</v>
      </c>
      <c r="Q8" s="18">
        <f t="shared" ref="Q8" si="9">IFERROR((SUM(Q9:Q10)+Q13),"x")</f>
        <v>3300045.7514033681</v>
      </c>
      <c r="R8" s="18">
        <f t="shared" ref="R8" si="10">IFERROR((SUM(R9:R10)+R13),"x")</f>
        <v>3567803.1699248124</v>
      </c>
      <c r="S8" s="18">
        <f t="shared" ref="S8:T8" si="11">IFERROR((SUM(S9:S10)+S13),"x")</f>
        <v>3861095.5173665294</v>
      </c>
      <c r="T8" s="18">
        <f t="shared" si="11"/>
        <v>3339226.9366545151</v>
      </c>
      <c r="U8" s="18">
        <f t="shared" ref="U8" si="12">IFERROR((SUM(U9:U10)+U13),"x")</f>
        <v>2887861.254214345</v>
      </c>
      <c r="V8" s="18">
        <f t="shared" ref="V8:Y8" si="13">IFERROR((SUM(V9:V10)+V13),"x")</f>
        <v>3912662.4338139859</v>
      </c>
      <c r="W8" s="18">
        <f t="shared" si="13"/>
        <v>3540308.7621407462</v>
      </c>
      <c r="X8" s="18">
        <f t="shared" si="13"/>
        <v>3326917.5000830037</v>
      </c>
      <c r="Y8" s="18">
        <f t="shared" si="13"/>
        <v>3506768.2429965814</v>
      </c>
      <c r="Z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</row>
    <row r="9" spans="1:51" x14ac:dyDescent="0.25">
      <c r="A9" s="16" t="s">
        <v>37</v>
      </c>
      <c r="B9" s="18">
        <f>B11+B12</f>
        <v>2729000</v>
      </c>
      <c r="C9" s="18">
        <f>C11+C12</f>
        <v>2778456</v>
      </c>
      <c r="D9" s="18">
        <f t="shared" ref="D9:S9" si="14">D11+D12</f>
        <v>2414780</v>
      </c>
      <c r="E9" s="18">
        <f t="shared" si="14"/>
        <v>2692149.4708994706</v>
      </c>
      <c r="F9" s="18">
        <f t="shared" si="14"/>
        <v>2490667.2374962689</v>
      </c>
      <c r="G9" s="18">
        <f t="shared" si="14"/>
        <v>2196575.7575757578</v>
      </c>
      <c r="H9" s="18">
        <f t="shared" ref="H9:L9" si="15">H11+H12</f>
        <v>3016851.5846994654</v>
      </c>
      <c r="I9" s="18">
        <f t="shared" si="15"/>
        <v>2878032.0497596809</v>
      </c>
      <c r="J9" s="18">
        <f t="shared" si="15"/>
        <v>2706293.333333333</v>
      </c>
      <c r="K9" s="18">
        <f t="shared" si="15"/>
        <v>2516852.8000000003</v>
      </c>
      <c r="L9" s="18">
        <f t="shared" si="15"/>
        <v>2435664</v>
      </c>
      <c r="M9" s="18">
        <f t="shared" si="14"/>
        <v>2541965.4631083198</v>
      </c>
      <c r="N9" s="18">
        <f t="shared" ref="N9" si="16">N11+N12</f>
        <v>3050358.5557299843</v>
      </c>
      <c r="O9" s="18">
        <f t="shared" si="14"/>
        <v>2414409.7437341595</v>
      </c>
      <c r="P9" s="18">
        <f t="shared" si="14"/>
        <v>2615592.9779484002</v>
      </c>
      <c r="Q9" s="18">
        <f t="shared" si="14"/>
        <v>2393259.0216519646</v>
      </c>
      <c r="R9" s="18">
        <f t="shared" si="14"/>
        <v>2586011.1707841032</v>
      </c>
      <c r="S9" s="18">
        <f t="shared" si="14"/>
        <v>2801248.5400342634</v>
      </c>
      <c r="T9" s="18">
        <f t="shared" ref="T9:U9" si="17">T11+T12</f>
        <v>2416956.5071093631</v>
      </c>
      <c r="U9" s="18">
        <f t="shared" si="17"/>
        <v>2084581.1886703572</v>
      </c>
      <c r="V9" s="18">
        <f t="shared" ref="V9:Y9" si="18">V11+V12</f>
        <v>2847269.8334418158</v>
      </c>
      <c r="W9" s="18">
        <f t="shared" si="18"/>
        <v>2573077.1444335394</v>
      </c>
      <c r="X9" s="18">
        <f t="shared" si="18"/>
        <v>2415940.7217106065</v>
      </c>
      <c r="Y9" s="18">
        <f t="shared" si="18"/>
        <v>2548378.6767279687</v>
      </c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</row>
    <row r="10" spans="1:51" x14ac:dyDescent="0.25">
      <c r="A10" s="22" t="s">
        <v>0</v>
      </c>
      <c r="B10" s="18">
        <f t="shared" ref="B10" si="19">IFERROR(0.358*B9,"x")</f>
        <v>976982</v>
      </c>
      <c r="C10" s="18">
        <f t="shared" ref="C10" si="20">IFERROR(0.358*C9,"x")</f>
        <v>994687.24799999991</v>
      </c>
      <c r="D10" s="18">
        <f t="shared" ref="D10" si="21">IFERROR(0.358*D9,"x")</f>
        <v>864491.24</v>
      </c>
      <c r="E10" s="18">
        <f t="shared" ref="E10" si="22">IFERROR(0.358*E9,"x")</f>
        <v>963789.51058201049</v>
      </c>
      <c r="F10" s="18">
        <f t="shared" ref="F10" si="23">IFERROR(0.358*F9,"x")</f>
        <v>891658.87102366425</v>
      </c>
      <c r="G10" s="18">
        <f t="shared" ref="G10" si="24">IFERROR(0.358*G9,"x")</f>
        <v>786374.12121212122</v>
      </c>
      <c r="H10" s="18">
        <f t="shared" ref="H10:L10" si="25">IFERROR(0.358*H9,"x")</f>
        <v>1080032.8673224086</v>
      </c>
      <c r="I10" s="18">
        <f t="shared" si="25"/>
        <v>1030335.4738139657</v>
      </c>
      <c r="J10" s="18">
        <f t="shared" si="25"/>
        <v>968853.01333333319</v>
      </c>
      <c r="K10" s="18">
        <f t="shared" si="25"/>
        <v>901033.30240000004</v>
      </c>
      <c r="L10" s="18">
        <f t="shared" si="25"/>
        <v>871967.71199999994</v>
      </c>
      <c r="M10" s="18">
        <f t="shared" ref="M10" si="26">IFERROR(0.358*M9,"x")</f>
        <v>910023.63579277846</v>
      </c>
      <c r="N10" s="18">
        <f>IFERROR(0.358*N9,"x")</f>
        <v>1092028.3629513343</v>
      </c>
      <c r="O10" s="18">
        <f t="shared" ref="O10" si="27">IFERROR(0.358*O9,"x")</f>
        <v>864358.68825682905</v>
      </c>
      <c r="P10" s="18">
        <f t="shared" ref="P10" si="28">IFERROR(0.358*P9,"x")</f>
        <v>936382.28610552719</v>
      </c>
      <c r="Q10" s="18">
        <f t="shared" ref="Q10" si="29">IFERROR(0.358*Q9,"x")</f>
        <v>856786.72975140333</v>
      </c>
      <c r="R10" s="18">
        <f t="shared" ref="R10" si="30">IFERROR(0.358*R9,"x")</f>
        <v>925791.99914070894</v>
      </c>
      <c r="S10" s="18">
        <f t="shared" ref="S10:T10" si="31">IFERROR(0.358*S9,"x")</f>
        <v>1002846.9773322663</v>
      </c>
      <c r="T10" s="18">
        <f t="shared" si="31"/>
        <v>865270.429545152</v>
      </c>
      <c r="U10" s="18">
        <f t="shared" ref="U10" si="32">IFERROR(0.358*U9,"x")</f>
        <v>746280.0655439879</v>
      </c>
      <c r="V10" s="18">
        <f t="shared" ref="V10:Y10" si="33">IFERROR(0.358*V9,"x")</f>
        <v>1019322.60037217</v>
      </c>
      <c r="W10" s="18">
        <f t="shared" si="33"/>
        <v>921161.6177072071</v>
      </c>
      <c r="X10" s="18">
        <f t="shared" si="33"/>
        <v>864906.77837239706</v>
      </c>
      <c r="Y10" s="18">
        <f t="shared" si="33"/>
        <v>912319.56626861275</v>
      </c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</row>
    <row r="11" spans="1:51" x14ac:dyDescent="0.25">
      <c r="A11" s="16" t="s">
        <v>38</v>
      </c>
      <c r="B11" s="18">
        <f>IFERROR(12*B15/B14,"x")</f>
        <v>2439000</v>
      </c>
      <c r="C11" s="18">
        <f t="shared" ref="C11:S11" si="34">IFERROR(12*C15/C14,"x")</f>
        <v>2078448</v>
      </c>
      <c r="D11" s="18">
        <f t="shared" si="34"/>
        <v>1908840</v>
      </c>
      <c r="E11" s="18">
        <f t="shared" si="34"/>
        <v>2166964.2857142854</v>
      </c>
      <c r="F11" s="18">
        <f t="shared" si="34"/>
        <v>1556851.3119533525</v>
      </c>
      <c r="G11" s="18">
        <f t="shared" si="34"/>
        <v>1332866.6666666667</v>
      </c>
      <c r="H11" s="18">
        <f t="shared" ref="H11:L11" si="35">IFERROR(12*H15/H14,"x")</f>
        <v>2076266.6666666749</v>
      </c>
      <c r="I11" s="18">
        <f t="shared" si="35"/>
        <v>1980727.8690209973</v>
      </c>
      <c r="J11" s="18">
        <f t="shared" si="35"/>
        <v>1862533.3333333333</v>
      </c>
      <c r="K11" s="18">
        <f t="shared" si="35"/>
        <v>1732156.0000000002</v>
      </c>
      <c r="L11" s="18">
        <f t="shared" si="35"/>
        <v>1676280.0000000002</v>
      </c>
      <c r="M11" s="18">
        <f t="shared" si="34"/>
        <v>1894945.0549450547</v>
      </c>
      <c r="N11" s="18">
        <f t="shared" ref="N11" si="36">IFERROR(12*N15/N14,"x")</f>
        <v>2273934.0659340657</v>
      </c>
      <c r="O11" s="18">
        <f t="shared" si="34"/>
        <v>1941805.9701492537</v>
      </c>
      <c r="P11" s="18">
        <f t="shared" si="34"/>
        <v>1908418.3486238532</v>
      </c>
      <c r="Q11" s="18">
        <f t="shared" si="34"/>
        <v>1651324.1379310347</v>
      </c>
      <c r="R11" s="18">
        <f t="shared" si="34"/>
        <v>2324179.5918367347</v>
      </c>
      <c r="S11" s="18">
        <f t="shared" si="34"/>
        <v>1891984.081864696</v>
      </c>
      <c r="T11" s="18">
        <f t="shared" ref="T11:U11" si="37">IFERROR(12*T15/T14,"x")</f>
        <v>1632439.5029430999</v>
      </c>
      <c r="U11" s="18">
        <f t="shared" si="37"/>
        <v>1407942.2382671481</v>
      </c>
      <c r="V11" s="18">
        <f t="shared" ref="V11:Y11" si="38">IFERROR(12*V15/V14,"x")</f>
        <v>1788554.8011639183</v>
      </c>
      <c r="W11" s="18">
        <f t="shared" si="38"/>
        <v>1726053.0421216849</v>
      </c>
      <c r="X11" s="18">
        <f t="shared" si="38"/>
        <v>1568916.619398752</v>
      </c>
      <c r="Y11" s="18">
        <f t="shared" si="38"/>
        <v>1663259.1701743836</v>
      </c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</row>
    <row r="12" spans="1:51" x14ac:dyDescent="0.25">
      <c r="A12" s="16" t="s">
        <v>39</v>
      </c>
      <c r="B12" s="18">
        <f>IFERROR(12*B17/B16,"x")</f>
        <v>290000</v>
      </c>
      <c r="C12" s="18">
        <f>IFERROR(12*C17/C16,"x")</f>
        <v>700008</v>
      </c>
      <c r="D12" s="18">
        <f t="shared" ref="D12:S12" si="39">IFERROR(12*D17/D16,"x")</f>
        <v>505940</v>
      </c>
      <c r="E12" s="18">
        <f t="shared" si="39"/>
        <v>525185.18518518517</v>
      </c>
      <c r="F12" s="18">
        <f t="shared" si="39"/>
        <v>933815.92554291629</v>
      </c>
      <c r="G12" s="18">
        <f t="shared" si="39"/>
        <v>863709.09090909082</v>
      </c>
      <c r="H12" s="18">
        <f t="shared" ref="H12:L12" si="40">IFERROR(12*H17/H16,"x")</f>
        <v>940584.91803279042</v>
      </c>
      <c r="I12" s="18">
        <f t="shared" si="40"/>
        <v>897304.18073868367</v>
      </c>
      <c r="J12" s="18">
        <f t="shared" si="40"/>
        <v>843759.99999999988</v>
      </c>
      <c r="K12" s="18">
        <f t="shared" si="40"/>
        <v>784696.79999999993</v>
      </c>
      <c r="L12" s="18">
        <f t="shared" si="40"/>
        <v>759383.99999999988</v>
      </c>
      <c r="M12" s="18">
        <f t="shared" si="39"/>
        <v>647020.40816326533</v>
      </c>
      <c r="N12" s="18">
        <f>IFERROR(12*N17/N16,"x")</f>
        <v>776424.48979591834</v>
      </c>
      <c r="O12" s="18">
        <f t="shared" si="39"/>
        <v>472603.77358490566</v>
      </c>
      <c r="P12" s="18">
        <f t="shared" si="39"/>
        <v>707174.62932454702</v>
      </c>
      <c r="Q12" s="18">
        <f t="shared" si="39"/>
        <v>741934.8837209302</v>
      </c>
      <c r="R12" s="18">
        <f t="shared" si="39"/>
        <v>261831.57894736846</v>
      </c>
      <c r="S12" s="18">
        <f t="shared" si="39"/>
        <v>909264.45816956763</v>
      </c>
      <c r="T12" s="18">
        <f>IFERROR(12*T17/T16,"x")</f>
        <v>784517.00416626304</v>
      </c>
      <c r="U12" s="18">
        <f t="shared" ref="U12" si="41">IFERROR(12*U17/U16,"x")</f>
        <v>676638.95040320896</v>
      </c>
      <c r="V12" s="18">
        <f>IFERROR(12*V17/V16,"x")</f>
        <v>1058715.0322778975</v>
      </c>
      <c r="W12" s="18">
        <f t="shared" ref="W12:Y12" si="42">IFERROR(12*W17/W16,"x")</f>
        <v>847024.10231185437</v>
      </c>
      <c r="X12" s="18">
        <f t="shared" si="42"/>
        <v>847024.10231185437</v>
      </c>
      <c r="Y12" s="18">
        <f t="shared" si="42"/>
        <v>885119.50655358518</v>
      </c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</row>
    <row r="13" spans="1:51" x14ac:dyDescent="0.25">
      <c r="A13" s="16" t="s">
        <v>28</v>
      </c>
      <c r="B13" s="18">
        <v>46506</v>
      </c>
      <c r="C13" s="18">
        <v>30496</v>
      </c>
      <c r="D13" s="18">
        <v>57536</v>
      </c>
      <c r="E13" s="18">
        <v>12465</v>
      </c>
      <c r="F13" s="18">
        <v>57536</v>
      </c>
      <c r="G13" s="18">
        <v>45000</v>
      </c>
      <c r="H13" s="18">
        <f>1.11475409836066*J13</f>
        <v>64138.491803278936</v>
      </c>
      <c r="I13" s="18">
        <f>1.06345901765749*J13</f>
        <v>61187.178039941347</v>
      </c>
      <c r="J13" s="18">
        <v>57536</v>
      </c>
      <c r="K13" s="18">
        <f>0.93*J13</f>
        <v>53508.480000000003</v>
      </c>
      <c r="L13" s="18">
        <f>0.9*J13</f>
        <v>51782.400000000001</v>
      </c>
      <c r="M13" s="18">
        <v>57536</v>
      </c>
      <c r="N13" s="18">
        <v>57536</v>
      </c>
      <c r="O13" s="18">
        <v>57536</v>
      </c>
      <c r="P13" s="18">
        <v>55134</v>
      </c>
      <c r="Q13" s="18">
        <v>50000</v>
      </c>
      <c r="R13" s="18">
        <v>56000</v>
      </c>
      <c r="S13" s="18">
        <v>57000</v>
      </c>
      <c r="T13" s="18">
        <v>57000</v>
      </c>
      <c r="U13" s="18">
        <v>57000</v>
      </c>
      <c r="V13" s="18">
        <v>46070</v>
      </c>
      <c r="W13" s="18">
        <v>46070</v>
      </c>
      <c r="X13" s="18">
        <v>46070</v>
      </c>
      <c r="Y13" s="18">
        <v>46070</v>
      </c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</row>
    <row r="14" spans="1:51" s="19" customFormat="1" ht="15" customHeight="1" x14ac:dyDescent="0.25">
      <c r="A14" s="16" t="s">
        <v>31</v>
      </c>
      <c r="B14" s="30">
        <v>0.24</v>
      </c>
      <c r="C14" s="30">
        <v>0.25</v>
      </c>
      <c r="D14" s="30">
        <v>0.3</v>
      </c>
      <c r="E14" s="30">
        <v>0.224</v>
      </c>
      <c r="F14" s="30">
        <v>0.34300000000000003</v>
      </c>
      <c r="G14" s="30">
        <v>0.36</v>
      </c>
      <c r="H14" s="30">
        <f>J14/1.11475409836066</f>
        <v>0.26470588235294013</v>
      </c>
      <c r="I14" s="30">
        <f>J14/1.06345901765749</f>
        <v>0.27747375527747159</v>
      </c>
      <c r="J14" s="30">
        <v>0.29508196721311475</v>
      </c>
      <c r="K14" s="30">
        <f>J14/0.93</f>
        <v>0.3172924378635642</v>
      </c>
      <c r="L14" s="30">
        <f>J14/0.9</f>
        <v>0.32786885245901637</v>
      </c>
      <c r="M14" s="30">
        <v>0.27300000000000002</v>
      </c>
      <c r="N14" s="30">
        <f>M14/1.2</f>
        <v>0.22750000000000004</v>
      </c>
      <c r="O14" s="30">
        <v>0.26800000000000002</v>
      </c>
      <c r="P14" s="30">
        <v>0.27250000000000002</v>
      </c>
      <c r="Q14" s="30">
        <v>0.28999999999999998</v>
      </c>
      <c r="R14" s="30">
        <v>0.245</v>
      </c>
      <c r="S14" s="30">
        <v>0.26384999999999997</v>
      </c>
      <c r="T14" s="30">
        <f>ROUND(S14*1.159,5)</f>
        <v>0.30580000000000002</v>
      </c>
      <c r="U14" s="30">
        <f>ROUND(S14*1.3438,5)</f>
        <v>0.35455999999999999</v>
      </c>
      <c r="V14" s="30">
        <f>IFERROR((ROUND(X14/1.14,4)),"x")</f>
        <v>0.30930000000000002</v>
      </c>
      <c r="W14" s="30">
        <f>IFERROR((ROUND(X14/1.1,4)),"x")</f>
        <v>0.32050000000000001</v>
      </c>
      <c r="X14" s="30">
        <v>0.35260000000000002</v>
      </c>
      <c r="Y14" s="30">
        <f>IFERROR((ROUND(X14/1.06,4)),"x")</f>
        <v>0.33260000000000001</v>
      </c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</row>
    <row r="15" spans="1:51" x14ac:dyDescent="0.25">
      <c r="A15" s="16" t="s">
        <v>32</v>
      </c>
      <c r="B15" s="18">
        <v>48780</v>
      </c>
      <c r="C15" s="18">
        <v>43301</v>
      </c>
      <c r="D15" s="18">
        <v>47721</v>
      </c>
      <c r="E15" s="18">
        <v>40450</v>
      </c>
      <c r="F15" s="18">
        <v>44500</v>
      </c>
      <c r="G15" s="18">
        <v>39986</v>
      </c>
      <c r="H15" s="18">
        <v>45800</v>
      </c>
      <c r="I15" s="18">
        <v>45800</v>
      </c>
      <c r="J15" s="18">
        <v>45800</v>
      </c>
      <c r="K15" s="18">
        <v>45800</v>
      </c>
      <c r="L15" s="18">
        <v>45800</v>
      </c>
      <c r="M15" s="18">
        <v>43110</v>
      </c>
      <c r="N15" s="18">
        <v>43110</v>
      </c>
      <c r="O15" s="18">
        <v>43367</v>
      </c>
      <c r="P15" s="18">
        <v>43337</v>
      </c>
      <c r="Q15" s="18">
        <v>39907</v>
      </c>
      <c r="R15" s="18">
        <v>47452</v>
      </c>
      <c r="S15" s="18">
        <v>41600</v>
      </c>
      <c r="T15" s="18">
        <v>41600</v>
      </c>
      <c r="U15" s="18">
        <v>41600</v>
      </c>
      <c r="V15" s="18">
        <v>46100</v>
      </c>
      <c r="W15" s="18">
        <v>46100</v>
      </c>
      <c r="X15" s="18">
        <v>46100</v>
      </c>
      <c r="Y15" s="18">
        <v>46100</v>
      </c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</row>
    <row r="16" spans="1:51" x14ac:dyDescent="0.25">
      <c r="A16" s="16" t="s">
        <v>33</v>
      </c>
      <c r="B16" s="30">
        <v>1.2</v>
      </c>
      <c r="C16" s="30">
        <v>0.5</v>
      </c>
      <c r="D16" s="30">
        <v>0.6</v>
      </c>
      <c r="E16" s="30">
        <v>0.81</v>
      </c>
      <c r="F16" s="30">
        <v>0.38679999999999998</v>
      </c>
      <c r="G16" s="30">
        <v>0.33</v>
      </c>
      <c r="H16" s="30">
        <f>J16/1.11475409836066</f>
        <v>0.4057049955660641</v>
      </c>
      <c r="I16" s="30">
        <f>J16/1.06345901765749</f>
        <v>0.42527384602828572</v>
      </c>
      <c r="J16" s="30">
        <v>0.45226130653266339</v>
      </c>
      <c r="K16" s="30">
        <f>J16/0.93</f>
        <v>0.48630248014264876</v>
      </c>
      <c r="L16" s="30">
        <f>J16/0.9</f>
        <v>0.50251256281407042</v>
      </c>
      <c r="M16" s="30">
        <v>0.49</v>
      </c>
      <c r="N16" s="30">
        <f>M16/1.2</f>
        <v>0.40833333333333333</v>
      </c>
      <c r="O16" s="30">
        <v>0.79500000000000004</v>
      </c>
      <c r="P16" s="30">
        <v>0.48559999999999998</v>
      </c>
      <c r="Q16" s="30">
        <v>0.43</v>
      </c>
      <c r="R16" s="30">
        <v>1.1399999999999999</v>
      </c>
      <c r="S16" s="30">
        <v>0.35620000000000002</v>
      </c>
      <c r="T16" s="30">
        <f>ROUND(S16*1.159,5)</f>
        <v>0.41283999999999998</v>
      </c>
      <c r="U16" s="30">
        <f>ROUND(S16*1.3438,5)</f>
        <v>0.47865999999999997</v>
      </c>
      <c r="V16" s="30">
        <f>IFERROR((ROUND(X16/1.25,4)),"x")</f>
        <v>0.32529999999999998</v>
      </c>
      <c r="W16" s="30">
        <f>IFERROR((ROUND(X16,4)),"x")</f>
        <v>0.40660000000000002</v>
      </c>
      <c r="X16" s="30">
        <v>0.40660000000000002</v>
      </c>
      <c r="Y16" s="30">
        <f>IFERROR((ROUND(X16/1.045,4)),"x")</f>
        <v>0.3891</v>
      </c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</row>
    <row r="17" spans="1:51" x14ac:dyDescent="0.25">
      <c r="A17" s="16" t="s">
        <v>34</v>
      </c>
      <c r="B17" s="18">
        <v>29000</v>
      </c>
      <c r="C17" s="18">
        <v>29167</v>
      </c>
      <c r="D17" s="18">
        <v>25297</v>
      </c>
      <c r="E17" s="18">
        <v>35450</v>
      </c>
      <c r="F17" s="18">
        <v>30100</v>
      </c>
      <c r="G17" s="18">
        <v>23752</v>
      </c>
      <c r="H17" s="18">
        <v>31800</v>
      </c>
      <c r="I17" s="18">
        <v>31800</v>
      </c>
      <c r="J17" s="18">
        <v>31800</v>
      </c>
      <c r="K17" s="18">
        <v>31800</v>
      </c>
      <c r="L17" s="18">
        <v>31800</v>
      </c>
      <c r="M17" s="18">
        <v>26420</v>
      </c>
      <c r="N17" s="18">
        <v>26420</v>
      </c>
      <c r="O17" s="18">
        <v>31310</v>
      </c>
      <c r="P17" s="18">
        <v>28617</v>
      </c>
      <c r="Q17" s="18">
        <v>26586</v>
      </c>
      <c r="R17" s="18">
        <v>24874</v>
      </c>
      <c r="S17" s="18">
        <v>26990</v>
      </c>
      <c r="T17" s="18">
        <v>26990</v>
      </c>
      <c r="U17" s="18">
        <v>26990</v>
      </c>
      <c r="V17" s="18">
        <v>28700</v>
      </c>
      <c r="W17" s="18">
        <v>28700</v>
      </c>
      <c r="X17" s="18">
        <v>28700</v>
      </c>
      <c r="Y17" s="18">
        <v>28700</v>
      </c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</row>
    <row r="18" spans="1:51" ht="33.75" x14ac:dyDescent="0.25">
      <c r="A18" s="46" t="s">
        <v>51</v>
      </c>
      <c r="B18" s="47">
        <v>1</v>
      </c>
      <c r="C18" s="47">
        <v>1</v>
      </c>
      <c r="D18" s="47">
        <v>1</v>
      </c>
      <c r="E18" s="47">
        <v>1</v>
      </c>
      <c r="F18" s="47">
        <v>1</v>
      </c>
      <c r="G18" s="47">
        <v>1</v>
      </c>
      <c r="H18" s="52">
        <v>5</v>
      </c>
      <c r="I18" s="53"/>
      <c r="J18" s="53"/>
      <c r="K18" s="53"/>
      <c r="L18" s="54"/>
      <c r="M18" s="55">
        <v>2</v>
      </c>
      <c r="N18" s="56"/>
      <c r="O18" s="47">
        <v>1</v>
      </c>
      <c r="P18" s="47">
        <v>1</v>
      </c>
      <c r="Q18" s="47">
        <v>1</v>
      </c>
      <c r="R18" s="47">
        <v>1</v>
      </c>
      <c r="S18" s="57">
        <v>3</v>
      </c>
      <c r="T18" s="58"/>
      <c r="U18" s="58"/>
      <c r="V18" s="59">
        <v>4</v>
      </c>
      <c r="W18" s="60"/>
      <c r="X18" s="60"/>
      <c r="Y18" s="60"/>
    </row>
    <row r="19" spans="1:51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1:51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</sheetData>
  <mergeCells count="7">
    <mergeCell ref="A1:Y1"/>
    <mergeCell ref="A5:A6"/>
    <mergeCell ref="A2:Y2"/>
    <mergeCell ref="H18:L18"/>
    <mergeCell ref="M18:N18"/>
    <mergeCell ref="S18:U18"/>
    <mergeCell ref="V18:Y18"/>
  </mergeCells>
  <printOptions horizontalCentered="1"/>
  <pageMargins left="0.39370078740157483" right="0.39370078740157483" top="0.55118110236220474" bottom="0.55118110236220474" header="0.31496062992125984" footer="0.31496062992125984"/>
  <pageSetup paperSize="9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BA957-AF14-4F95-91EE-8A34628E1BBE}">
  <dimension ref="A1:AQ29"/>
  <sheetViews>
    <sheetView workbookViewId="0">
      <pane ySplit="6" topLeftCell="A7" activePane="bottomLeft" state="frozen"/>
      <selection pane="bottomLeft" activeCell="O27" sqref="O27"/>
    </sheetView>
  </sheetViews>
  <sheetFormatPr defaultRowHeight="15" x14ac:dyDescent="0.25"/>
  <cols>
    <col min="1" max="1" width="13" style="17" customWidth="1"/>
    <col min="2" max="2" width="9.42578125" style="17" customWidth="1"/>
    <col min="3" max="3" width="9.28515625" style="17" customWidth="1"/>
    <col min="4" max="4" width="9.42578125" style="17" customWidth="1"/>
    <col min="5" max="5" width="9" style="17" customWidth="1"/>
    <col min="6" max="6" width="8.7109375" style="17" customWidth="1"/>
    <col min="7" max="7" width="8.5703125" style="17" customWidth="1"/>
    <col min="8" max="9" width="9.28515625" style="17" customWidth="1"/>
    <col min="10" max="10" width="8.7109375" style="17" customWidth="1"/>
    <col min="11" max="11" width="8.85546875" style="17" customWidth="1"/>
    <col min="12" max="12" width="8.7109375" style="17" customWidth="1"/>
    <col min="13" max="16" width="8.5703125" style="17" customWidth="1"/>
    <col min="17" max="17" width="9" style="17" customWidth="1"/>
    <col min="18" max="19" width="9.140625" style="17"/>
    <col min="20" max="34" width="6" style="17" customWidth="1"/>
    <col min="35" max="16384" width="9.140625" style="17"/>
  </cols>
  <sheetData>
    <row r="1" spans="1:43" ht="18.75" x14ac:dyDescent="0.25">
      <c r="A1" s="50" t="str">
        <f>'DD 2021'!A1:Y1</f>
        <v>Krajské normativy v roce 2021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43" ht="18.75" x14ac:dyDescent="0.25">
      <c r="A2" s="50" t="s">
        <v>42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43" ht="15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41"/>
      <c r="P3" s="41"/>
      <c r="Q3" s="32"/>
    </row>
    <row r="4" spans="1:43" s="25" customFormat="1" ht="15.75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</row>
    <row r="5" spans="1:43" s="15" customFormat="1" ht="15" customHeight="1" x14ac:dyDescent="0.25">
      <c r="A5" s="51"/>
      <c r="B5" s="1" t="s">
        <v>4</v>
      </c>
      <c r="C5" s="2" t="s">
        <v>5</v>
      </c>
      <c r="D5" s="3" t="s">
        <v>6</v>
      </c>
      <c r="E5" s="4" t="s">
        <v>7</v>
      </c>
      <c r="F5" s="5" t="s">
        <v>8</v>
      </c>
      <c r="G5" s="6" t="s">
        <v>9</v>
      </c>
      <c r="H5" s="7" t="s">
        <v>10</v>
      </c>
      <c r="I5" s="8" t="s">
        <v>11</v>
      </c>
      <c r="J5" s="9" t="s">
        <v>12</v>
      </c>
      <c r="K5" s="10" t="s">
        <v>13</v>
      </c>
      <c r="L5" s="11" t="s">
        <v>14</v>
      </c>
      <c r="M5" s="12" t="s">
        <v>15</v>
      </c>
      <c r="N5" s="13" t="s">
        <v>16</v>
      </c>
      <c r="O5" s="13" t="s">
        <v>16</v>
      </c>
      <c r="P5" s="13" t="s">
        <v>16</v>
      </c>
      <c r="Q5" s="14" t="s">
        <v>17</v>
      </c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</row>
    <row r="6" spans="1:43" s="15" customFormat="1" ht="71.25" customHeight="1" x14ac:dyDescent="0.25">
      <c r="A6" s="51"/>
      <c r="B6" s="33" t="s">
        <v>18</v>
      </c>
      <c r="C6" s="33" t="s">
        <v>19</v>
      </c>
      <c r="D6" s="33" t="s">
        <v>2</v>
      </c>
      <c r="E6" s="33" t="s">
        <v>3</v>
      </c>
      <c r="F6" s="33" t="s">
        <v>20</v>
      </c>
      <c r="G6" s="33" t="s">
        <v>21</v>
      </c>
      <c r="H6" s="33" t="s">
        <v>22</v>
      </c>
      <c r="I6" s="33" t="s">
        <v>29</v>
      </c>
      <c r="J6" s="33" t="s">
        <v>23</v>
      </c>
      <c r="K6" s="33" t="s">
        <v>24</v>
      </c>
      <c r="L6" s="33" t="s">
        <v>25</v>
      </c>
      <c r="M6" s="33" t="s">
        <v>26</v>
      </c>
      <c r="N6" s="33" t="s">
        <v>27</v>
      </c>
      <c r="O6" s="42" t="s">
        <v>27</v>
      </c>
      <c r="P6" s="42" t="s">
        <v>27</v>
      </c>
      <c r="Q6" s="33" t="s">
        <v>30</v>
      </c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</row>
    <row r="7" spans="1:43" s="15" customFormat="1" ht="47.25" customHeight="1" x14ac:dyDescent="0.25">
      <c r="A7" s="31" t="s">
        <v>41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13"/>
      <c r="O7" s="13">
        <v>3</v>
      </c>
      <c r="P7" s="13">
        <v>4</v>
      </c>
      <c r="Q7" s="42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</row>
    <row r="8" spans="1:43" x14ac:dyDescent="0.25">
      <c r="A8" s="22" t="s">
        <v>1</v>
      </c>
      <c r="B8" s="26" t="s">
        <v>35</v>
      </c>
      <c r="C8" s="26" t="s">
        <v>35</v>
      </c>
      <c r="D8" s="26" t="s">
        <v>35</v>
      </c>
      <c r="E8" s="26" t="s">
        <v>35</v>
      </c>
      <c r="F8" s="26" t="s">
        <v>35</v>
      </c>
      <c r="G8" s="18">
        <f>SUM(G9:G10)+G13</f>
        <v>2671345.6421052637</v>
      </c>
      <c r="H8" s="26" t="s">
        <v>35</v>
      </c>
      <c r="I8" s="26" t="s">
        <v>35</v>
      </c>
      <c r="J8" s="26" t="s">
        <v>35</v>
      </c>
      <c r="K8" s="26" t="s">
        <v>35</v>
      </c>
      <c r="L8" s="18">
        <f>SUM(L9:L10)+L13</f>
        <v>3300045.7514033681</v>
      </c>
      <c r="M8" s="26" t="s">
        <v>35</v>
      </c>
      <c r="N8" s="27">
        <f>SUM(N9:N10)+N13</f>
        <v>3861095.5173665294</v>
      </c>
      <c r="O8" s="18">
        <f t="shared" ref="O8:P8" si="0">IFERROR((SUM(O9:O10)+O13),"x")</f>
        <v>3339226.9366545151</v>
      </c>
      <c r="P8" s="18">
        <f t="shared" si="0"/>
        <v>2887861.254214345</v>
      </c>
      <c r="Q8" s="26" t="s">
        <v>35</v>
      </c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</row>
    <row r="9" spans="1:43" x14ac:dyDescent="0.25">
      <c r="A9" s="16" t="s">
        <v>37</v>
      </c>
      <c r="B9" s="26" t="s">
        <v>35</v>
      </c>
      <c r="C9" s="26" t="s">
        <v>35</v>
      </c>
      <c r="D9" s="26" t="s">
        <v>35</v>
      </c>
      <c r="E9" s="26" t="s">
        <v>35</v>
      </c>
      <c r="F9" s="26" t="s">
        <v>35</v>
      </c>
      <c r="G9" s="18">
        <f>G11+G12</f>
        <v>1941344.3609022559</v>
      </c>
      <c r="H9" s="26" t="s">
        <v>35</v>
      </c>
      <c r="I9" s="26" t="s">
        <v>35</v>
      </c>
      <c r="J9" s="26" t="s">
        <v>35</v>
      </c>
      <c r="K9" s="26" t="s">
        <v>35</v>
      </c>
      <c r="L9" s="18">
        <f>L11+L12</f>
        <v>2393259.0216519646</v>
      </c>
      <c r="M9" s="26" t="s">
        <v>35</v>
      </c>
      <c r="N9" s="27">
        <f>N11+N12</f>
        <v>2801248.5400342634</v>
      </c>
      <c r="O9" s="18">
        <f t="shared" ref="O9:P9" si="1">O11+O12</f>
        <v>2416956.5071093631</v>
      </c>
      <c r="P9" s="18">
        <f t="shared" si="1"/>
        <v>2084581.1886703572</v>
      </c>
      <c r="Q9" s="26" t="s">
        <v>35</v>
      </c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</row>
    <row r="10" spans="1:43" x14ac:dyDescent="0.25">
      <c r="A10" s="22" t="s">
        <v>0</v>
      </c>
      <c r="B10" s="26" t="s">
        <v>35</v>
      </c>
      <c r="C10" s="26" t="s">
        <v>35</v>
      </c>
      <c r="D10" s="26" t="s">
        <v>35</v>
      </c>
      <c r="E10" s="26" t="s">
        <v>35</v>
      </c>
      <c r="F10" s="26" t="s">
        <v>35</v>
      </c>
      <c r="G10" s="18">
        <f t="shared" ref="G10:P10" si="2">IFERROR(0.358*G9,"x")</f>
        <v>695001.28120300756</v>
      </c>
      <c r="H10" s="26" t="s">
        <v>35</v>
      </c>
      <c r="I10" s="26" t="s">
        <v>35</v>
      </c>
      <c r="J10" s="26" t="s">
        <v>35</v>
      </c>
      <c r="K10" s="26" t="s">
        <v>35</v>
      </c>
      <c r="L10" s="18">
        <f t="shared" si="2"/>
        <v>856786.72975140333</v>
      </c>
      <c r="M10" s="26" t="s">
        <v>35</v>
      </c>
      <c r="N10" s="27">
        <f t="shared" si="2"/>
        <v>1002846.9773322663</v>
      </c>
      <c r="O10" s="18">
        <f t="shared" si="2"/>
        <v>865270.429545152</v>
      </c>
      <c r="P10" s="18">
        <f t="shared" si="2"/>
        <v>746280.0655439879</v>
      </c>
      <c r="Q10" s="26" t="s">
        <v>35</v>
      </c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</row>
    <row r="11" spans="1:43" x14ac:dyDescent="0.25">
      <c r="A11" s="16" t="s">
        <v>38</v>
      </c>
      <c r="B11" s="26" t="s">
        <v>35</v>
      </c>
      <c r="C11" s="26" t="s">
        <v>35</v>
      </c>
      <c r="D11" s="26" t="s">
        <v>35</v>
      </c>
      <c r="E11" s="26" t="s">
        <v>35</v>
      </c>
      <c r="F11" s="26" t="s">
        <v>35</v>
      </c>
      <c r="G11" s="18">
        <f t="shared" ref="G11:P11" si="3">IFERROR(12*G15/G14,"x")</f>
        <v>1262715.7894736843</v>
      </c>
      <c r="H11" s="26" t="s">
        <v>35</v>
      </c>
      <c r="I11" s="26" t="s">
        <v>35</v>
      </c>
      <c r="J11" s="26" t="s">
        <v>35</v>
      </c>
      <c r="K11" s="26" t="s">
        <v>35</v>
      </c>
      <c r="L11" s="18">
        <f t="shared" si="3"/>
        <v>1651324.1379310347</v>
      </c>
      <c r="M11" s="26" t="s">
        <v>35</v>
      </c>
      <c r="N11" s="27">
        <f t="shared" si="3"/>
        <v>1891984.081864696</v>
      </c>
      <c r="O11" s="18">
        <f t="shared" si="3"/>
        <v>1632439.5029430999</v>
      </c>
      <c r="P11" s="18">
        <f t="shared" si="3"/>
        <v>1407942.2382671481</v>
      </c>
      <c r="Q11" s="26" t="s">
        <v>35</v>
      </c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</row>
    <row r="12" spans="1:43" x14ac:dyDescent="0.25">
      <c r="A12" s="16" t="s">
        <v>39</v>
      </c>
      <c r="B12" s="26" t="s">
        <v>35</v>
      </c>
      <c r="C12" s="26" t="s">
        <v>35</v>
      </c>
      <c r="D12" s="26" t="s">
        <v>35</v>
      </c>
      <c r="E12" s="26" t="s">
        <v>35</v>
      </c>
      <c r="F12" s="26" t="s">
        <v>35</v>
      </c>
      <c r="G12" s="18">
        <f t="shared" ref="G12:N12" si="4">IFERROR(12*G17/G16,"x")</f>
        <v>678628.57142857148</v>
      </c>
      <c r="H12" s="26" t="s">
        <v>35</v>
      </c>
      <c r="I12" s="26" t="s">
        <v>35</v>
      </c>
      <c r="J12" s="26" t="s">
        <v>35</v>
      </c>
      <c r="K12" s="26" t="s">
        <v>35</v>
      </c>
      <c r="L12" s="18">
        <f t="shared" si="4"/>
        <v>741934.8837209302</v>
      </c>
      <c r="M12" s="26" t="s">
        <v>35</v>
      </c>
      <c r="N12" s="27">
        <f t="shared" si="4"/>
        <v>909264.45816956763</v>
      </c>
      <c r="O12" s="18">
        <f>IFERROR(12*O17/O16,"x")</f>
        <v>784517.00416626304</v>
      </c>
      <c r="P12" s="18">
        <f t="shared" ref="P12" si="5">IFERROR(12*P17/P16,"x")</f>
        <v>676638.95040320896</v>
      </c>
      <c r="Q12" s="26" t="s">
        <v>35</v>
      </c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</row>
    <row r="13" spans="1:43" x14ac:dyDescent="0.25">
      <c r="A13" s="16" t="s">
        <v>28</v>
      </c>
      <c r="B13" s="26" t="s">
        <v>35</v>
      </c>
      <c r="C13" s="26" t="s">
        <v>35</v>
      </c>
      <c r="D13" s="26" t="s">
        <v>35</v>
      </c>
      <c r="E13" s="26" t="s">
        <v>35</v>
      </c>
      <c r="F13" s="26" t="s">
        <v>35</v>
      </c>
      <c r="G13" s="18">
        <v>35000</v>
      </c>
      <c r="H13" s="26" t="s">
        <v>35</v>
      </c>
      <c r="I13" s="26" t="s">
        <v>35</v>
      </c>
      <c r="J13" s="26" t="s">
        <v>35</v>
      </c>
      <c r="K13" s="26" t="s">
        <v>35</v>
      </c>
      <c r="L13" s="18">
        <v>50000</v>
      </c>
      <c r="M13" s="26" t="s">
        <v>35</v>
      </c>
      <c r="N13" s="18">
        <v>57000</v>
      </c>
      <c r="O13" s="18">
        <v>57000</v>
      </c>
      <c r="P13" s="18">
        <v>57000</v>
      </c>
      <c r="Q13" s="26" t="s">
        <v>35</v>
      </c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</row>
    <row r="14" spans="1:43" s="19" customFormat="1" ht="15" customHeight="1" x14ac:dyDescent="0.25">
      <c r="A14" s="16" t="s">
        <v>31</v>
      </c>
      <c r="B14" s="26" t="s">
        <v>35</v>
      </c>
      <c r="C14" s="26" t="s">
        <v>35</v>
      </c>
      <c r="D14" s="26" t="s">
        <v>35</v>
      </c>
      <c r="E14" s="26" t="s">
        <v>35</v>
      </c>
      <c r="F14" s="26" t="s">
        <v>35</v>
      </c>
      <c r="G14" s="30">
        <v>0.38</v>
      </c>
      <c r="H14" s="26" t="s">
        <v>35</v>
      </c>
      <c r="I14" s="26" t="s">
        <v>35</v>
      </c>
      <c r="J14" s="26" t="s">
        <v>35</v>
      </c>
      <c r="K14" s="26" t="s">
        <v>35</v>
      </c>
      <c r="L14" s="30">
        <v>0.28999999999999998</v>
      </c>
      <c r="M14" s="26" t="s">
        <v>35</v>
      </c>
      <c r="N14" s="30">
        <v>0.26384999999999997</v>
      </c>
      <c r="O14" s="30">
        <f>ROUND(N14*1.159,5)</f>
        <v>0.30580000000000002</v>
      </c>
      <c r="P14" s="30">
        <f>ROUND(N14*1.3438,5)</f>
        <v>0.35455999999999999</v>
      </c>
      <c r="Q14" s="26" t="s">
        <v>35</v>
      </c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</row>
    <row r="15" spans="1:43" x14ac:dyDescent="0.25">
      <c r="A15" s="16" t="s">
        <v>32</v>
      </c>
      <c r="B15" s="26" t="s">
        <v>35</v>
      </c>
      <c r="C15" s="26" t="s">
        <v>35</v>
      </c>
      <c r="D15" s="26" t="s">
        <v>35</v>
      </c>
      <c r="E15" s="26" t="s">
        <v>35</v>
      </c>
      <c r="F15" s="26" t="s">
        <v>35</v>
      </c>
      <c r="G15" s="18">
        <v>39986</v>
      </c>
      <c r="H15" s="26" t="s">
        <v>35</v>
      </c>
      <c r="I15" s="26" t="s">
        <v>35</v>
      </c>
      <c r="J15" s="26" t="s">
        <v>35</v>
      </c>
      <c r="K15" s="26" t="s">
        <v>35</v>
      </c>
      <c r="L15" s="18">
        <v>39907</v>
      </c>
      <c r="M15" s="26" t="s">
        <v>35</v>
      </c>
      <c r="N15" s="18">
        <v>41600</v>
      </c>
      <c r="O15" s="18">
        <v>41600</v>
      </c>
      <c r="P15" s="18">
        <v>41600</v>
      </c>
      <c r="Q15" s="26" t="s">
        <v>35</v>
      </c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</row>
    <row r="16" spans="1:43" x14ac:dyDescent="0.25">
      <c r="A16" s="16" t="s">
        <v>33</v>
      </c>
      <c r="B16" s="26" t="s">
        <v>35</v>
      </c>
      <c r="C16" s="26" t="s">
        <v>35</v>
      </c>
      <c r="D16" s="26" t="s">
        <v>35</v>
      </c>
      <c r="E16" s="26" t="s">
        <v>35</v>
      </c>
      <c r="F16" s="26" t="s">
        <v>35</v>
      </c>
      <c r="G16" s="30">
        <v>0.42</v>
      </c>
      <c r="H16" s="26" t="s">
        <v>35</v>
      </c>
      <c r="I16" s="26" t="s">
        <v>35</v>
      </c>
      <c r="J16" s="26" t="s">
        <v>35</v>
      </c>
      <c r="K16" s="26" t="s">
        <v>35</v>
      </c>
      <c r="L16" s="30">
        <v>0.43</v>
      </c>
      <c r="M16" s="26" t="s">
        <v>35</v>
      </c>
      <c r="N16" s="30">
        <v>0.35620000000000002</v>
      </c>
      <c r="O16" s="30">
        <f>ROUND(N16*1.159,5)</f>
        <v>0.41283999999999998</v>
      </c>
      <c r="P16" s="30">
        <f>ROUND(N16*1.3438,5)</f>
        <v>0.47865999999999997</v>
      </c>
      <c r="Q16" s="26" t="s">
        <v>35</v>
      </c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</row>
    <row r="17" spans="1:43" x14ac:dyDescent="0.25">
      <c r="A17" s="16" t="s">
        <v>34</v>
      </c>
      <c r="B17" s="26" t="s">
        <v>35</v>
      </c>
      <c r="C17" s="26" t="s">
        <v>35</v>
      </c>
      <c r="D17" s="26" t="s">
        <v>35</v>
      </c>
      <c r="E17" s="26" t="s">
        <v>35</v>
      </c>
      <c r="F17" s="26" t="s">
        <v>35</v>
      </c>
      <c r="G17" s="18">
        <v>23752</v>
      </c>
      <c r="H17" s="26" t="s">
        <v>35</v>
      </c>
      <c r="I17" s="26" t="s">
        <v>35</v>
      </c>
      <c r="J17" s="26" t="s">
        <v>35</v>
      </c>
      <c r="K17" s="26" t="s">
        <v>35</v>
      </c>
      <c r="L17" s="18">
        <v>26586</v>
      </c>
      <c r="M17" s="26" t="s">
        <v>35</v>
      </c>
      <c r="N17" s="18">
        <v>26990</v>
      </c>
      <c r="O17" s="18">
        <v>26990</v>
      </c>
      <c r="P17" s="18">
        <v>26990</v>
      </c>
      <c r="Q17" s="26" t="s">
        <v>35</v>
      </c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</row>
    <row r="18" spans="1:43" x14ac:dyDescent="0.25">
      <c r="A18" s="20"/>
      <c r="B18" s="24"/>
      <c r="C18" s="24"/>
      <c r="D18" s="24"/>
      <c r="E18" s="24"/>
      <c r="F18" s="24"/>
      <c r="G18" s="24"/>
      <c r="H18" s="21"/>
      <c r="I18" s="24"/>
      <c r="J18" s="24"/>
      <c r="K18" s="24"/>
      <c r="L18" s="24"/>
      <c r="M18" s="24"/>
      <c r="N18" s="24"/>
      <c r="O18" s="24"/>
      <c r="P18" s="24"/>
      <c r="Q18" s="21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</row>
    <row r="20" spans="1:43" x14ac:dyDescent="0.25"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43"/>
      <c r="N20" s="44"/>
      <c r="O20" s="44"/>
      <c r="P20" s="44"/>
    </row>
    <row r="21" spans="1:43" x14ac:dyDescent="0.25">
      <c r="M21" s="43"/>
      <c r="N21" s="44"/>
      <c r="O21" s="44"/>
      <c r="P21" s="44"/>
    </row>
    <row r="22" spans="1:43" x14ac:dyDescent="0.25">
      <c r="M22" s="43"/>
      <c r="N22" s="44"/>
      <c r="O22" s="44"/>
      <c r="P22" s="44"/>
    </row>
    <row r="23" spans="1:43" x14ac:dyDescent="0.25">
      <c r="M23" s="43"/>
      <c r="N23" s="44"/>
      <c r="O23" s="44"/>
      <c r="P23" s="44"/>
    </row>
    <row r="24" spans="1:43" x14ac:dyDescent="0.25">
      <c r="M24" s="43"/>
      <c r="N24" s="44"/>
      <c r="O24" s="44"/>
      <c r="P24" s="44"/>
    </row>
    <row r="25" spans="1:43" x14ac:dyDescent="0.25">
      <c r="M25" s="43"/>
      <c r="N25" s="45"/>
      <c r="O25" s="45"/>
      <c r="P25" s="45"/>
    </row>
    <row r="26" spans="1:43" x14ac:dyDescent="0.25">
      <c r="M26" s="43"/>
      <c r="N26" s="44"/>
      <c r="O26" s="44"/>
      <c r="P26" s="44"/>
    </row>
    <row r="27" spans="1:43" x14ac:dyDescent="0.25">
      <c r="M27" s="43"/>
      <c r="N27" s="45"/>
      <c r="O27" s="45"/>
      <c r="P27" s="45"/>
    </row>
    <row r="28" spans="1:43" x14ac:dyDescent="0.25">
      <c r="M28" s="43"/>
      <c r="N28" s="44"/>
      <c r="O28" s="44"/>
      <c r="P28" s="44"/>
    </row>
    <row r="29" spans="1:43" x14ac:dyDescent="0.25">
      <c r="M29" s="43"/>
      <c r="N29" s="43"/>
      <c r="O29" s="43"/>
      <c r="P29" s="43"/>
    </row>
  </sheetData>
  <mergeCells count="3">
    <mergeCell ref="A1:Q1"/>
    <mergeCell ref="A5:A6"/>
    <mergeCell ref="A2:Q2"/>
  </mergeCells>
  <printOptions horizontalCentered="1"/>
  <pageMargins left="0.39370078740157483" right="0.39370078740157483" top="0.55118110236220474" bottom="0.55118110236220474" header="0.31496062992125984" footer="0.31496062992125984"/>
  <pageSetup paperSize="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titul</vt:lpstr>
      <vt:lpstr>DD 2021</vt:lpstr>
      <vt:lpstr>DD se školou 2021 </vt:lpstr>
      <vt:lpstr>'DD 2021'!Názvy_tisku</vt:lpstr>
      <vt:lpstr>'DD se školou 2021 '!Názvy_tisku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2014-08-13T08:06:10Z</cp:lastPrinted>
  <dcterms:created xsi:type="dcterms:W3CDTF">2013-04-19T07:05:39Z</dcterms:created>
  <dcterms:modified xsi:type="dcterms:W3CDTF">2021-10-08T10:24:36Z</dcterms:modified>
</cp:coreProperties>
</file>