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I\10_odbor\101_oddělení\8_Vyšinská\2022\Krajské normativy 2022\Materiál 2022\"/>
    </mc:Choice>
  </mc:AlternateContent>
  <xr:revisionPtr revIDLastSave="0" documentId="13_ncr:1_{E992F02A-A324-4C3A-8A32-152B03522A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itul" sheetId="8" r:id="rId1"/>
    <sheet name="SPC 2022" sheetId="4" r:id="rId2"/>
  </sheets>
  <definedNames>
    <definedName name="_xlnm.Print_Titles" localSheetId="1">'SPC 2022'!$1:$5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5" i="4" l="1"/>
  <c r="AK13" i="4"/>
  <c r="Z12" i="4" l="1"/>
  <c r="Y12" i="4"/>
  <c r="X12" i="4"/>
  <c r="W12" i="4"/>
  <c r="U15" i="4" l="1"/>
  <c r="U13" i="4"/>
  <c r="U12" i="4"/>
  <c r="T15" i="4"/>
  <c r="T13" i="4"/>
  <c r="T12" i="4"/>
  <c r="S15" i="4"/>
  <c r="S13" i="4"/>
  <c r="S12" i="4"/>
  <c r="R15" i="4"/>
  <c r="R13" i="4"/>
  <c r="R12" i="4"/>
  <c r="Q15" i="4"/>
  <c r="Q13" i="4"/>
  <c r="Q12" i="4"/>
  <c r="P15" i="4"/>
  <c r="P13" i="4"/>
  <c r="P12" i="4"/>
  <c r="G15" i="4" l="1"/>
  <c r="F15" i="4"/>
  <c r="G13" i="4"/>
  <c r="F13" i="4"/>
  <c r="G12" i="4"/>
  <c r="F12" i="4"/>
  <c r="F11" i="4" l="1"/>
  <c r="G11" i="4"/>
  <c r="F10" i="4"/>
  <c r="G10" i="4"/>
  <c r="Z15" i="4"/>
  <c r="Y15" i="4"/>
  <c r="W15" i="4"/>
  <c r="Z13" i="4"/>
  <c r="Y13" i="4"/>
  <c r="W13" i="4"/>
  <c r="G8" i="4" l="1"/>
  <c r="G9" i="4" s="1"/>
  <c r="F8" i="4"/>
  <c r="F9" i="4" s="1"/>
  <c r="AH13" i="4"/>
  <c r="AH15" i="4"/>
  <c r="F7" i="4" l="1"/>
  <c r="G7" i="4"/>
  <c r="D11" i="4"/>
  <c r="D13" i="4"/>
  <c r="D10" i="4" s="1"/>
  <c r="D8" i="4" s="1"/>
  <c r="D9" i="4" s="1"/>
  <c r="D7" i="4" s="1"/>
  <c r="M13" i="4" l="1"/>
  <c r="M10" i="4" s="1"/>
  <c r="L13" i="4"/>
  <c r="L10" i="4" s="1"/>
  <c r="K13" i="4"/>
  <c r="K10" i="4" s="1"/>
  <c r="J13" i="4"/>
  <c r="J10" i="4" s="1"/>
  <c r="M15" i="4"/>
  <c r="M11" i="4" s="1"/>
  <c r="L15" i="4"/>
  <c r="L11" i="4" s="1"/>
  <c r="K15" i="4"/>
  <c r="K11" i="4" s="1"/>
  <c r="J15" i="4"/>
  <c r="J11" i="4" s="1"/>
  <c r="J8" i="4" l="1"/>
  <c r="J9" i="4" s="1"/>
  <c r="J7" i="4" s="1"/>
  <c r="M8" i="4"/>
  <c r="M9" i="4" s="1"/>
  <c r="M7" i="4" s="1"/>
  <c r="L8" i="4"/>
  <c r="L9" i="4" s="1"/>
  <c r="L7" i="4" s="1"/>
  <c r="K8" i="4"/>
  <c r="K9" i="4" s="1"/>
  <c r="K7" i="4" s="1"/>
  <c r="U11" i="4" l="1"/>
  <c r="T11" i="4"/>
  <c r="S11" i="4"/>
  <c r="R11" i="4"/>
  <c r="Q11" i="4"/>
  <c r="P11" i="4"/>
  <c r="U10" i="4"/>
  <c r="T10" i="4"/>
  <c r="S10" i="4"/>
  <c r="R10" i="4"/>
  <c r="Q10" i="4"/>
  <c r="P10" i="4"/>
  <c r="P8" i="4" l="1"/>
  <c r="P9" i="4" s="1"/>
  <c r="P7" i="4" s="1"/>
  <c r="R8" i="4"/>
  <c r="R9" i="4" s="1"/>
  <c r="R7" i="4" s="1"/>
  <c r="S8" i="4"/>
  <c r="S9" i="4" s="1"/>
  <c r="Q8" i="4"/>
  <c r="Q9" i="4" s="1"/>
  <c r="Q7" i="4" s="1"/>
  <c r="T8" i="4"/>
  <c r="T9" i="4" s="1"/>
  <c r="T7" i="4" s="1"/>
  <c r="U8" i="4"/>
  <c r="U9" i="4" s="1"/>
  <c r="U7" i="4" s="1"/>
  <c r="S7" i="4" l="1"/>
  <c r="Z11" i="4"/>
  <c r="Z10" i="4"/>
  <c r="Y11" i="4"/>
  <c r="Y10" i="4"/>
  <c r="X11" i="4"/>
  <c r="X10" i="4"/>
  <c r="W11" i="4"/>
  <c r="W10" i="4"/>
  <c r="X8" i="4" l="1"/>
  <c r="W8" i="4"/>
  <c r="Z8" i="4"/>
  <c r="Y8" i="4"/>
  <c r="Z9" i="4" l="1"/>
  <c r="Z7" i="4" s="1"/>
  <c r="Y9" i="4"/>
  <c r="Y7" i="4" s="1"/>
  <c r="X9" i="4"/>
  <c r="X7" i="4" s="1"/>
  <c r="W9" i="4"/>
  <c r="W7" i="4" s="1"/>
  <c r="AL13" i="4" l="1"/>
  <c r="AL10" i="4" s="1"/>
  <c r="AL15" i="4"/>
  <c r="AK10" i="4"/>
  <c r="AJ13" i="4"/>
  <c r="AJ10" i="4" s="1"/>
  <c r="AJ15" i="4"/>
  <c r="AI15" i="4"/>
  <c r="AI13" i="4"/>
  <c r="AI10" i="4" s="1"/>
  <c r="AH10" i="4"/>
  <c r="AH11" i="4"/>
  <c r="AG11" i="4"/>
  <c r="AG10" i="4"/>
  <c r="AH8" i="4" l="1"/>
  <c r="AG8" i="4"/>
  <c r="AJ11" i="4"/>
  <c r="AJ8" i="4" s="1"/>
  <c r="AJ9" i="4" s="1"/>
  <c r="AJ7" i="4" s="1"/>
  <c r="AI11" i="4"/>
  <c r="AI8" i="4" s="1"/>
  <c r="AI9" i="4" s="1"/>
  <c r="AI7" i="4" s="1"/>
  <c r="AH9" i="4"/>
  <c r="AH7" i="4" s="1"/>
  <c r="AG9" i="4"/>
  <c r="AG7" i="4" s="1"/>
  <c r="AF11" i="4"/>
  <c r="AF10" i="4"/>
  <c r="AE11" i="4"/>
  <c r="AE10" i="4"/>
  <c r="AE8" i="4" l="1"/>
  <c r="AE9" i="4" s="1"/>
  <c r="AE7" i="4" s="1"/>
  <c r="AF8" i="4"/>
  <c r="AF9" i="4" s="1"/>
  <c r="AF7" i="4" s="1"/>
  <c r="AK11" i="4"/>
  <c r="AK8" i="4" s="1"/>
  <c r="AK9" i="4" s="1"/>
  <c r="AK7" i="4" s="1"/>
  <c r="AL11" i="4"/>
  <c r="AL8" i="4" s="1"/>
  <c r="AL9" i="4" s="1"/>
  <c r="AL7" i="4" s="1"/>
  <c r="C10" i="4" l="1"/>
  <c r="C8" i="4" s="1"/>
  <c r="C9" i="4" s="1"/>
  <c r="C7" i="4" s="1"/>
  <c r="E10" i="4"/>
  <c r="H10" i="4"/>
  <c r="I10" i="4"/>
  <c r="N10" i="4"/>
  <c r="O10" i="4"/>
  <c r="V10" i="4"/>
  <c r="AA10" i="4"/>
  <c r="AB10" i="4"/>
  <c r="AC10" i="4"/>
  <c r="AD10" i="4"/>
  <c r="C11" i="4"/>
  <c r="E11" i="4"/>
  <c r="H11" i="4"/>
  <c r="I11" i="4"/>
  <c r="N11" i="4"/>
  <c r="O11" i="4"/>
  <c r="V11" i="4"/>
  <c r="AA11" i="4"/>
  <c r="AB11" i="4"/>
  <c r="AC11" i="4"/>
  <c r="AD11" i="4"/>
  <c r="B10" i="4"/>
  <c r="B11" i="4"/>
  <c r="O8" i="4" l="1"/>
  <c r="AA8" i="4"/>
  <c r="AA9" i="4" s="1"/>
  <c r="AA7" i="4" s="1"/>
  <c r="E8" i="4"/>
  <c r="E9" i="4" s="1"/>
  <c r="E7" i="4" s="1"/>
  <c r="V8" i="4"/>
  <c r="V9" i="4" s="1"/>
  <c r="V7" i="4" s="1"/>
  <c r="O9" i="4"/>
  <c r="O7" i="4" s="1"/>
  <c r="N8" i="4"/>
  <c r="N9" i="4" s="1"/>
  <c r="N7" i="4" s="1"/>
  <c r="I8" i="4"/>
  <c r="I9" i="4" s="1"/>
  <c r="I7" i="4" s="1"/>
  <c r="AD8" i="4"/>
  <c r="AD9" i="4" s="1"/>
  <c r="AD7" i="4" s="1"/>
  <c r="H8" i="4"/>
  <c r="H9" i="4" s="1"/>
  <c r="H7" i="4" s="1"/>
  <c r="AC8" i="4"/>
  <c r="AC9" i="4" s="1"/>
  <c r="AC7" i="4" s="1"/>
  <c r="B8" i="4"/>
  <c r="AB8" i="4"/>
  <c r="AB9" i="4" s="1"/>
  <c r="AB7" i="4" s="1"/>
  <c r="B9" i="4" l="1"/>
  <c r="B7" i="4" l="1"/>
</calcChain>
</file>

<file path=xl/sharedStrings.xml><?xml version="1.0" encoding="utf-8"?>
<sst xmlns="http://schemas.openxmlformats.org/spreadsheetml/2006/main" count="152" uniqueCount="70">
  <si>
    <t>Odvody</t>
  </si>
  <si>
    <t>NIV celkem</t>
  </si>
  <si>
    <t>Jihočeský</t>
  </si>
  <si>
    <t>Plzeňský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</si>
  <si>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</si>
  <si>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</si>
  <si>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</si>
  <si>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</si>
  <si>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</si>
  <si>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</si>
  <si>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</si>
  <si>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</si>
  <si>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</si>
  <si>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</si>
  <si>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</si>
  <si>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</si>
  <si>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</si>
  <si>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</si>
  <si>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Hl. m. Praha</t>
  </si>
  <si>
    <t>Středočeský</t>
  </si>
  <si>
    <t xml:space="preserve">Karlovarský </t>
  </si>
  <si>
    <t xml:space="preserve">Ústecký  </t>
  </si>
  <si>
    <t>Liberecký</t>
  </si>
  <si>
    <t>Pardubický</t>
  </si>
  <si>
    <t>Vysočina</t>
  </si>
  <si>
    <t>Jihomoravský</t>
  </si>
  <si>
    <t>Olomoucký</t>
  </si>
  <si>
    <t>Zlínský</t>
  </si>
  <si>
    <t>ONIV celkem</t>
  </si>
  <si>
    <t>Králové hradecký</t>
  </si>
  <si>
    <t>Moravsko slezský</t>
  </si>
  <si>
    <t>Np</t>
  </si>
  <si>
    <t>Pp</t>
  </si>
  <si>
    <t>No</t>
  </si>
  <si>
    <t>Po</t>
  </si>
  <si>
    <t>x</t>
  </si>
  <si>
    <t>MP bez odv.</t>
  </si>
  <si>
    <t>MPP bez odv.</t>
  </si>
  <si>
    <t>MPN bez odv.</t>
  </si>
  <si>
    <t>POZNÁMKY</t>
  </si>
  <si>
    <t>vady řeči</t>
  </si>
  <si>
    <t>zrakové</t>
  </si>
  <si>
    <t>mentální</t>
  </si>
  <si>
    <t>sluchové</t>
  </si>
  <si>
    <t>tělesné</t>
  </si>
  <si>
    <t>více vad, autismus</t>
  </si>
  <si>
    <t>ostatní</t>
  </si>
  <si>
    <t>zrakové, sluchové</t>
  </si>
  <si>
    <t>zrakové, sluchové, tělesné, vady řeči, jiný zdrav. stav, ostatní</t>
  </si>
  <si>
    <t>mentální, kombinované postižení, autismus</t>
  </si>
  <si>
    <t>kombinované vady, autismus</t>
  </si>
  <si>
    <t>Porovnání krajských normativů mzdových prostředků a ostatních neinvestičních výdajů</t>
  </si>
  <si>
    <t>Příloha č. 6</t>
  </si>
  <si>
    <t>Děti, žáci, studenti speciálně pedagogických center</t>
  </si>
  <si>
    <t>SPECIÁLNĚ PEDAGOGICKÁ CENTRA</t>
  </si>
  <si>
    <t>nemají oprav. koef. dle druhu postižení</t>
  </si>
  <si>
    <t>nemají oprav. koef., různé Np dle specifikace postižení</t>
  </si>
  <si>
    <t>oprav. koef. dle druhu postižení</t>
  </si>
  <si>
    <t>Opravný koeficient dle specifikace postižení uvádí 6 krajů. Zlínský kraj neuvádí opravný koeficient, ale má nastaveny 2 různé ukazatele Np dle druhu postižení.</t>
  </si>
  <si>
    <t>zrakové, sluchové, více vad, autismus</t>
  </si>
  <si>
    <t>základní normativ</t>
  </si>
  <si>
    <t>počet normativů
v daném kraji celkem</t>
  </si>
  <si>
    <t>Speciálně pedagogické centrum SPC (v Kč/dítě, žáka, studenta)</t>
  </si>
  <si>
    <t>základní normativ, mentální, tělesné, jiný zdrav. stav</t>
  </si>
  <si>
    <t>základní normativ, mentální</t>
  </si>
  <si>
    <t>základní normativ, zrakové</t>
  </si>
  <si>
    <t>Č.j.: MSMT-12809/2022-1</t>
  </si>
  <si>
    <t>stanovených jednotlivými krajskými úřady pro krajské a obecní školství v roce 2022</t>
  </si>
  <si>
    <t>Všechny kraje mají stanovený finanční normativ jako konstantu.</t>
  </si>
  <si>
    <t>Krajské normativy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</si>
</sst>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8"/>
      <color rgb="FF00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3" fontId="1" fillId="16" borderId="1" xfId="0" applyNumberFormat="1" applyFont="1" applyFill="1" applyBorder="1" applyAlignment="1">
      <alignment vertical="center" wrapText="1"/>
    </xf>
    <xf numFmtId="2" fontId="1" fillId="16" borderId="1" xfId="0" applyNumberFormat="1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3" fontId="5" fillId="17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16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A1189-1FE7-4AAA-91EB-A1199F219D13}">
  <sheetPr>
    <tabColor theme="8" tint="-0.249977111117893"/>
  </sheetPr>
  <dimension ref="A2:A47"/>
  <sheetViews>
    <sheetView tabSelected="1" workbookViewId="0">
      <selection activeCell="A15" sqref="A15"/>
    </sheetView>
  </sheetViews>
  <sheetFormatPr defaultRowHeight="15" x14ac:dyDescent="0.25"/>
  <cols>
    <col min="1" max="1" width="83.85546875" style="47" customWidth="1"/>
  </cols>
  <sheetData>
    <row r="2" spans="1:1" x14ac:dyDescent="0.25">
      <c r="A2" s="44" t="s">
        <v>66</v>
      </c>
    </row>
    <row r="15" spans="1:1" ht="36" x14ac:dyDescent="0.25">
      <c r="A15" s="48" t="s">
        <v>54</v>
      </c>
    </row>
    <row r="19" spans="1:1" ht="18.75" x14ac:dyDescent="0.3">
      <c r="A19" s="45" t="s">
        <v>53</v>
      </c>
    </row>
    <row r="21" spans="1:1" ht="18.75" x14ac:dyDescent="0.3">
      <c r="A21" s="45" t="s">
        <v>52</v>
      </c>
    </row>
    <row r="46" spans="1:1" x14ac:dyDescent="0.25">
      <c r="A46" s="46" t="s">
        <v>51</v>
      </c>
    </row>
    <row r="47" spans="1:1" x14ac:dyDescent="0.25">
      <c r="A47" s="47" t="s">
        <v>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E83E-3137-43E1-9025-BD647D6AF375}">
  <sheetPr>
    <tabColor theme="8" tint="0.59999389629810485"/>
    <pageSetUpPr fitToPage="1"/>
  </sheetPr>
  <dimension ref="A1:BM2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0" sqref="A20:A21"/>
    </sheetView>
  </sheetViews>
  <sheetFormatPr defaultColWidth="9.140625" defaultRowHeight="15" x14ac:dyDescent="0.25"/>
  <cols>
    <col min="1" max="1" width="13" style="16" customWidth="1"/>
    <col min="2" max="2" width="9.42578125" style="16" customWidth="1"/>
    <col min="3" max="4" width="9.28515625" style="16" customWidth="1"/>
    <col min="5" max="7" width="9.42578125" style="16" customWidth="1"/>
    <col min="8" max="8" width="9" style="16" customWidth="1"/>
    <col min="9" max="13" width="8.7109375" style="16" customWidth="1"/>
    <col min="14" max="14" width="8.5703125" style="16" customWidth="1"/>
    <col min="15" max="20" width="9.28515625" style="16" customWidth="1"/>
    <col min="21" max="21" width="10" style="16" customWidth="1"/>
    <col min="22" max="26" width="9.28515625" style="16" customWidth="1"/>
    <col min="27" max="27" width="8.7109375" style="16" customWidth="1"/>
    <col min="28" max="28" width="8.85546875" style="16" customWidth="1"/>
    <col min="29" max="29" width="8.7109375" style="16" customWidth="1"/>
    <col min="30" max="32" width="8.5703125" style="16" customWidth="1"/>
    <col min="33" max="38" width="9" style="16" customWidth="1"/>
    <col min="39" max="40" width="9.140625" style="16"/>
    <col min="41" max="41" width="11.85546875" style="16" bestFit="1" customWidth="1"/>
    <col min="42" max="56" width="6" style="16" customWidth="1"/>
    <col min="57" max="16384" width="9.140625" style="16"/>
  </cols>
  <sheetData>
    <row r="1" spans="1:65" ht="18.75" x14ac:dyDescent="0.25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</row>
    <row r="2" spans="1:65" ht="18.75" x14ac:dyDescent="0.25">
      <c r="A2" s="64" t="s">
        <v>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3" spans="1:65" ht="15.75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65" s="14" customFormat="1" ht="15" customHeight="1" x14ac:dyDescent="0.25">
      <c r="A4" s="65"/>
      <c r="B4" s="1" t="s">
        <v>4</v>
      </c>
      <c r="C4" s="2" t="s">
        <v>5</v>
      </c>
      <c r="D4" s="2" t="s">
        <v>5</v>
      </c>
      <c r="E4" s="3" t="s">
        <v>6</v>
      </c>
      <c r="F4" s="3" t="s">
        <v>6</v>
      </c>
      <c r="G4" s="3" t="s">
        <v>6</v>
      </c>
      <c r="H4" s="4" t="s">
        <v>7</v>
      </c>
      <c r="I4" s="5" t="s">
        <v>8</v>
      </c>
      <c r="J4" s="5" t="s">
        <v>8</v>
      </c>
      <c r="K4" s="5" t="s">
        <v>8</v>
      </c>
      <c r="L4" s="5" t="s">
        <v>8</v>
      </c>
      <c r="M4" s="5" t="s">
        <v>8</v>
      </c>
      <c r="N4" s="6" t="s">
        <v>9</v>
      </c>
      <c r="O4" s="7" t="s">
        <v>10</v>
      </c>
      <c r="P4" s="7" t="s">
        <v>10</v>
      </c>
      <c r="Q4" s="7" t="s">
        <v>10</v>
      </c>
      <c r="R4" s="7" t="s">
        <v>10</v>
      </c>
      <c r="S4" s="7" t="s">
        <v>10</v>
      </c>
      <c r="T4" s="7" t="s">
        <v>10</v>
      </c>
      <c r="U4" s="7" t="s">
        <v>10</v>
      </c>
      <c r="V4" s="8" t="s">
        <v>11</v>
      </c>
      <c r="W4" s="8" t="s">
        <v>11</v>
      </c>
      <c r="X4" s="8" t="s">
        <v>11</v>
      </c>
      <c r="Y4" s="8" t="s">
        <v>11</v>
      </c>
      <c r="Z4" s="8" t="s">
        <v>11</v>
      </c>
      <c r="AA4" s="9" t="s">
        <v>12</v>
      </c>
      <c r="AB4" s="10" t="s">
        <v>13</v>
      </c>
      <c r="AC4" s="11" t="s">
        <v>14</v>
      </c>
      <c r="AD4" s="59" t="s">
        <v>15</v>
      </c>
      <c r="AE4" s="12" t="s">
        <v>16</v>
      </c>
      <c r="AF4" s="12" t="s">
        <v>16</v>
      </c>
      <c r="AG4" s="13" t="s">
        <v>17</v>
      </c>
      <c r="AH4" s="13" t="s">
        <v>17</v>
      </c>
      <c r="AI4" s="13" t="s">
        <v>17</v>
      </c>
      <c r="AJ4" s="13" t="s">
        <v>17</v>
      </c>
      <c r="AK4" s="13" t="s">
        <v>17</v>
      </c>
      <c r="AL4" s="13" t="s">
        <v>17</v>
      </c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65" s="14" customFormat="1" ht="71.25" customHeight="1" x14ac:dyDescent="0.25">
      <c r="A5" s="65"/>
      <c r="B5" s="23" t="s">
        <v>18</v>
      </c>
      <c r="C5" s="63" t="s">
        <v>19</v>
      </c>
      <c r="D5" s="63" t="s">
        <v>19</v>
      </c>
      <c r="E5" s="23" t="s">
        <v>2</v>
      </c>
      <c r="F5" s="23" t="s">
        <v>2</v>
      </c>
      <c r="G5" s="23" t="s">
        <v>2</v>
      </c>
      <c r="H5" s="23" t="s">
        <v>3</v>
      </c>
      <c r="I5" s="23" t="s">
        <v>20</v>
      </c>
      <c r="J5" s="23" t="s">
        <v>20</v>
      </c>
      <c r="K5" s="23" t="s">
        <v>20</v>
      </c>
      <c r="L5" s="23" t="s">
        <v>20</v>
      </c>
      <c r="M5" s="23" t="s">
        <v>20</v>
      </c>
      <c r="N5" s="23" t="s">
        <v>21</v>
      </c>
      <c r="O5" s="23" t="s">
        <v>22</v>
      </c>
      <c r="P5" s="23" t="s">
        <v>22</v>
      </c>
      <c r="Q5" s="23" t="s">
        <v>22</v>
      </c>
      <c r="R5" s="23" t="s">
        <v>22</v>
      </c>
      <c r="S5" s="23" t="s">
        <v>22</v>
      </c>
      <c r="T5" s="23" t="s">
        <v>22</v>
      </c>
      <c r="U5" s="23" t="s">
        <v>22</v>
      </c>
      <c r="V5" s="23" t="s">
        <v>29</v>
      </c>
      <c r="W5" s="23" t="s">
        <v>29</v>
      </c>
      <c r="X5" s="23" t="s">
        <v>29</v>
      </c>
      <c r="Y5" s="23" t="s">
        <v>29</v>
      </c>
      <c r="Z5" s="23" t="s">
        <v>29</v>
      </c>
      <c r="AA5" s="23" t="s">
        <v>23</v>
      </c>
      <c r="AB5" s="23" t="s">
        <v>24</v>
      </c>
      <c r="AC5" s="23" t="s">
        <v>25</v>
      </c>
      <c r="AD5" s="23" t="s">
        <v>26</v>
      </c>
      <c r="AE5" s="23" t="s">
        <v>27</v>
      </c>
      <c r="AF5" s="23" t="s">
        <v>27</v>
      </c>
      <c r="AG5" s="23" t="s">
        <v>30</v>
      </c>
      <c r="AH5" s="23" t="s">
        <v>30</v>
      </c>
      <c r="AI5" s="23" t="s">
        <v>30</v>
      </c>
      <c r="AJ5" s="23" t="s">
        <v>30</v>
      </c>
      <c r="AK5" s="23" t="s">
        <v>30</v>
      </c>
      <c r="AL5" s="23" t="s">
        <v>30</v>
      </c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65" s="14" customFormat="1" ht="81" customHeight="1" x14ac:dyDescent="0.25">
      <c r="A6" s="24"/>
      <c r="B6" s="53" t="s">
        <v>60</v>
      </c>
      <c r="C6" s="52" t="s">
        <v>60</v>
      </c>
      <c r="D6" s="31" t="s">
        <v>40</v>
      </c>
      <c r="E6" s="51" t="s">
        <v>65</v>
      </c>
      <c r="F6" s="51" t="s">
        <v>42</v>
      </c>
      <c r="G6" s="51" t="s">
        <v>40</v>
      </c>
      <c r="H6" s="54" t="s">
        <v>60</v>
      </c>
      <c r="I6" s="33" t="s">
        <v>60</v>
      </c>
      <c r="J6" s="32" t="s">
        <v>42</v>
      </c>
      <c r="K6" s="33" t="s">
        <v>59</v>
      </c>
      <c r="L6" s="32" t="s">
        <v>40</v>
      </c>
      <c r="M6" s="32" t="s">
        <v>44</v>
      </c>
      <c r="N6" s="55" t="s">
        <v>60</v>
      </c>
      <c r="O6" s="37" t="s">
        <v>60</v>
      </c>
      <c r="P6" s="36" t="s">
        <v>40</v>
      </c>
      <c r="Q6" s="36" t="s">
        <v>41</v>
      </c>
      <c r="R6" s="36" t="s">
        <v>43</v>
      </c>
      <c r="S6" s="36" t="s">
        <v>44</v>
      </c>
      <c r="T6" s="36" t="s">
        <v>42</v>
      </c>
      <c r="U6" s="37" t="s">
        <v>50</v>
      </c>
      <c r="V6" s="39" t="s">
        <v>63</v>
      </c>
      <c r="W6" s="38" t="s">
        <v>40</v>
      </c>
      <c r="X6" s="39" t="s">
        <v>47</v>
      </c>
      <c r="Y6" s="39" t="s">
        <v>45</v>
      </c>
      <c r="Z6" s="39" t="s">
        <v>46</v>
      </c>
      <c r="AA6" s="56" t="s">
        <v>60</v>
      </c>
      <c r="AB6" s="57" t="s">
        <v>60</v>
      </c>
      <c r="AC6" s="58" t="s">
        <v>60</v>
      </c>
      <c r="AD6" s="60" t="s">
        <v>60</v>
      </c>
      <c r="AE6" s="40" t="s">
        <v>48</v>
      </c>
      <c r="AF6" s="40" t="s">
        <v>49</v>
      </c>
      <c r="AG6" s="42" t="s">
        <v>64</v>
      </c>
      <c r="AH6" s="41" t="s">
        <v>40</v>
      </c>
      <c r="AI6" s="41" t="s">
        <v>41</v>
      </c>
      <c r="AJ6" s="41" t="s">
        <v>43</v>
      </c>
      <c r="AK6" s="41" t="s">
        <v>44</v>
      </c>
      <c r="AL6" s="42" t="s">
        <v>45</v>
      </c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65" x14ac:dyDescent="0.25">
      <c r="A7" s="15" t="s">
        <v>1</v>
      </c>
      <c r="B7" s="17">
        <f>SUM(B8:B9)+B12</f>
        <v>9191.1594616664152</v>
      </c>
      <c r="C7" s="17">
        <f>SUM(C8:C9)+C12</f>
        <v>9969.7265000000007</v>
      </c>
      <c r="D7" s="17">
        <f>SUM(D8:D9)+D12</f>
        <v>5989.8358999999991</v>
      </c>
      <c r="E7" s="17">
        <f>SUM(E8:E9)+E12</f>
        <v>16084.170504727274</v>
      </c>
      <c r="F7" s="17">
        <f t="shared" ref="F7:G7" si="0">SUM(F8:F9)+F12</f>
        <v>4825.2511514181815</v>
      </c>
      <c r="G7" s="17">
        <f t="shared" si="0"/>
        <v>6433.6682018909087</v>
      </c>
      <c r="H7" s="17">
        <f t="shared" ref="H7:AD7" si="1">SUM(H8:H9)+H12</f>
        <v>5482.2352048484845</v>
      </c>
      <c r="I7" s="17">
        <f t="shared" si="1"/>
        <v>3326.1471219512196</v>
      </c>
      <c r="J7" s="17">
        <f>SUM(J8:J9)+J12</f>
        <v>5915.0648195121958</v>
      </c>
      <c r="K7" s="17">
        <f>SUM(K8:K9)+K12</f>
        <v>13034.588487804878</v>
      </c>
      <c r="L7" s="17">
        <f>SUM(L8:L9)+L12</f>
        <v>5494.3656936585357</v>
      </c>
      <c r="M7" s="17">
        <f>SUM(M8:M9)+M12</f>
        <v>6562.2942439024391</v>
      </c>
      <c r="N7" s="34">
        <f t="shared" si="1"/>
        <v>4704.3034098569151</v>
      </c>
      <c r="O7" s="34">
        <f t="shared" si="1"/>
        <v>8667.6153659119773</v>
      </c>
      <c r="P7" s="34">
        <f t="shared" ref="P7:U7" si="2">SUM(P8:P9)+P12</f>
        <v>4940.5407585698267</v>
      </c>
      <c r="Q7" s="34">
        <f t="shared" si="2"/>
        <v>10877.857284219528</v>
      </c>
      <c r="R7" s="34">
        <f t="shared" si="2"/>
        <v>9144.3342110371341</v>
      </c>
      <c r="S7" s="34">
        <f t="shared" si="2"/>
        <v>10834.519207389971</v>
      </c>
      <c r="T7" s="34">
        <f t="shared" si="2"/>
        <v>12377.354742522302</v>
      </c>
      <c r="U7" s="34">
        <f t="shared" si="2"/>
        <v>19224.770881592765</v>
      </c>
      <c r="V7" s="17">
        <f t="shared" si="1"/>
        <v>6048.8872861538466</v>
      </c>
      <c r="W7" s="17">
        <f t="shared" si="1"/>
        <v>4652.9902201183431</v>
      </c>
      <c r="X7" s="17">
        <f t="shared" si="1"/>
        <v>10081.478810256409</v>
      </c>
      <c r="Y7" s="17">
        <f t="shared" si="1"/>
        <v>7561.1091076923076</v>
      </c>
      <c r="Z7" s="17">
        <f t="shared" si="1"/>
        <v>4032.5915241025641</v>
      </c>
      <c r="AA7" s="17">
        <f t="shared" si="1"/>
        <v>7433.7241344232516</v>
      </c>
      <c r="AB7" s="17">
        <f t="shared" si="1"/>
        <v>7852.1213333333326</v>
      </c>
      <c r="AC7" s="17">
        <f t="shared" si="1"/>
        <v>6057.5389746147821</v>
      </c>
      <c r="AD7" s="17">
        <f t="shared" si="1"/>
        <v>5539.2931246030439</v>
      </c>
      <c r="AE7" s="17">
        <f>SUM(AE8:AE9)+AE12</f>
        <v>9184.7344892653728</v>
      </c>
      <c r="AF7" s="17">
        <f>SUM(AF8:AF9)+AF12</f>
        <v>10347.480586826347</v>
      </c>
      <c r="AG7" s="17">
        <f t="shared" ref="AG7:AL7" si="3">SUM(AG8:AG9)+AG12</f>
        <v>8717.3373832554389</v>
      </c>
      <c r="AH7" s="17">
        <f t="shared" si="3"/>
        <v>4104.8438586499269</v>
      </c>
      <c r="AI7" s="17">
        <f t="shared" si="3"/>
        <v>9277.0699984167331</v>
      </c>
      <c r="AJ7" s="17">
        <f t="shared" si="3"/>
        <v>11254.436803105846</v>
      </c>
      <c r="AK7" s="17">
        <f t="shared" si="3"/>
        <v>8717.3373832554389</v>
      </c>
      <c r="AL7" s="17">
        <f t="shared" si="3"/>
        <v>9782.4583700793846</v>
      </c>
      <c r="AN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</row>
    <row r="8" spans="1:65" x14ac:dyDescent="0.25">
      <c r="A8" s="15" t="s">
        <v>36</v>
      </c>
      <c r="B8" s="17">
        <f>B10+B11</f>
        <v>6753.4311205201875</v>
      </c>
      <c r="C8" s="17">
        <f>C10</f>
        <v>7326.75</v>
      </c>
      <c r="D8" s="17">
        <f>D10</f>
        <v>4396.0499999999993</v>
      </c>
      <c r="E8" s="17">
        <f>E10+E11</f>
        <v>11814.558545454545</v>
      </c>
      <c r="F8" s="17">
        <f t="shared" ref="F8:G8" si="4">F10+F11</f>
        <v>3544.3675636363637</v>
      </c>
      <c r="G8" s="17">
        <f t="shared" si="4"/>
        <v>4725.8234181818179</v>
      </c>
      <c r="H8" s="17">
        <f t="shared" ref="H8:O8" si="5">H10+H11</f>
        <v>4007.5369696969697</v>
      </c>
      <c r="I8" s="17">
        <f t="shared" si="5"/>
        <v>2383.0243902439024</v>
      </c>
      <c r="J8" s="17">
        <f t="shared" si="5"/>
        <v>4289.4439024390249</v>
      </c>
      <c r="K8" s="17">
        <f t="shared" si="5"/>
        <v>9532.0975609756097</v>
      </c>
      <c r="L8" s="17">
        <f t="shared" si="5"/>
        <v>3979.6507317073165</v>
      </c>
      <c r="M8" s="17">
        <f t="shared" si="5"/>
        <v>4766.0487804878048</v>
      </c>
      <c r="N8" s="34">
        <f t="shared" si="5"/>
        <v>3427.3220985691573</v>
      </c>
      <c r="O8" s="34">
        <f t="shared" si="5"/>
        <v>6373.796293013238</v>
      </c>
      <c r="P8" s="34">
        <f t="shared" ref="P8:U8" si="6">P10+P11</f>
        <v>3633.0638870175453</v>
      </c>
      <c r="Q8" s="34">
        <f t="shared" si="6"/>
        <v>7999.1143477316118</v>
      </c>
      <c r="R8" s="34">
        <f t="shared" si="6"/>
        <v>6724.3550891289651</v>
      </c>
      <c r="S8" s="34">
        <f t="shared" si="6"/>
        <v>7967.2453662665466</v>
      </c>
      <c r="T8" s="34">
        <f t="shared" si="6"/>
        <v>9101.7811064229027</v>
      </c>
      <c r="U8" s="34">
        <f t="shared" si="6"/>
        <v>14137.080177903361</v>
      </c>
      <c r="V8" s="17">
        <f t="shared" ref="V8:AF8" si="7">V10+V11</f>
        <v>4387.9876923076927</v>
      </c>
      <c r="W8" s="17">
        <f t="shared" si="7"/>
        <v>3375.375147928994</v>
      </c>
      <c r="X8" s="17">
        <f t="shared" si="7"/>
        <v>7313.3128205128196</v>
      </c>
      <c r="Y8" s="17">
        <f t="shared" si="7"/>
        <v>5484.9846153846156</v>
      </c>
      <c r="Z8" s="17">
        <f t="shared" si="7"/>
        <v>2925.3251282051283</v>
      </c>
      <c r="AA8" s="17">
        <f t="shared" si="7"/>
        <v>5367.2489944206563</v>
      </c>
      <c r="AB8" s="17">
        <f t="shared" si="7"/>
        <v>5752.6666666666661</v>
      </c>
      <c r="AC8" s="17">
        <f t="shared" si="7"/>
        <v>4460.6325291714156</v>
      </c>
      <c r="AD8" s="17">
        <f t="shared" si="7"/>
        <v>4052.4986190007685</v>
      </c>
      <c r="AE8" s="17">
        <f t="shared" si="7"/>
        <v>6647.0798890024835</v>
      </c>
      <c r="AF8" s="17">
        <f t="shared" si="7"/>
        <v>7503.2994011976043</v>
      </c>
      <c r="AG8" s="17">
        <f t="shared" ref="AG8:AL8" si="8">AG10+AG11</f>
        <v>6389.791887522415</v>
      </c>
      <c r="AH8" s="17">
        <f t="shared" si="8"/>
        <v>2993.257627871817</v>
      </c>
      <c r="AI8" s="17">
        <f t="shared" si="8"/>
        <v>6801.966125490967</v>
      </c>
      <c r="AJ8" s="17">
        <f t="shared" si="8"/>
        <v>8258.0536105344963</v>
      </c>
      <c r="AK8" s="17">
        <f t="shared" si="8"/>
        <v>6389.791887522415</v>
      </c>
      <c r="AL8" s="17">
        <f t="shared" si="8"/>
        <v>7174.1225111041122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</row>
    <row r="9" spans="1:65" x14ac:dyDescent="0.25">
      <c r="A9" s="15" t="s">
        <v>0</v>
      </c>
      <c r="B9" s="17">
        <f>IFERROR(0.358*B8,"x")</f>
        <v>2417.7283411462272</v>
      </c>
      <c r="C9" s="17">
        <f>IFERROR(0.358*C8,"x")</f>
        <v>2622.9764999999998</v>
      </c>
      <c r="D9" s="17">
        <f>IFERROR(0.358*D8,"x")</f>
        <v>1573.7858999999996</v>
      </c>
      <c r="E9" s="17">
        <f>IFERROR(0.358*E8,"x")</f>
        <v>4229.6119592727273</v>
      </c>
      <c r="F9" s="17">
        <f t="shared" ref="F9:G9" si="9">IFERROR(0.358*F8,"x")</f>
        <v>1268.8835877818181</v>
      </c>
      <c r="G9" s="17">
        <f t="shared" si="9"/>
        <v>1691.8447837090907</v>
      </c>
      <c r="H9" s="17">
        <f t="shared" ref="H9:N9" si="10">IFERROR(0.358*H8,"x")</f>
        <v>1434.6982351515151</v>
      </c>
      <c r="I9" s="17">
        <f t="shared" si="10"/>
        <v>853.12273170731703</v>
      </c>
      <c r="J9" s="17">
        <f t="shared" si="10"/>
        <v>1535.6209170731709</v>
      </c>
      <c r="K9" s="17">
        <f t="shared" si="10"/>
        <v>3412.4909268292681</v>
      </c>
      <c r="L9" s="17">
        <f t="shared" si="10"/>
        <v>1424.7149619512193</v>
      </c>
      <c r="M9" s="17">
        <f t="shared" si="10"/>
        <v>1706.2454634146341</v>
      </c>
      <c r="N9" s="34">
        <f t="shared" si="10"/>
        <v>1226.9813112877582</v>
      </c>
      <c r="O9" s="34">
        <f t="shared" ref="O9:U9" si="11">IFERROR(0.358*O8,"x")</f>
        <v>2281.8190728987393</v>
      </c>
      <c r="P9" s="34">
        <f t="shared" si="11"/>
        <v>1300.6368715522813</v>
      </c>
      <c r="Q9" s="34">
        <f t="shared" si="11"/>
        <v>2863.6829364879168</v>
      </c>
      <c r="R9" s="34">
        <f t="shared" si="11"/>
        <v>2407.3191219081696</v>
      </c>
      <c r="S9" s="34">
        <f t="shared" si="11"/>
        <v>2852.2738411234236</v>
      </c>
      <c r="T9" s="34">
        <f t="shared" si="11"/>
        <v>3258.4376360993992</v>
      </c>
      <c r="U9" s="34">
        <f t="shared" si="11"/>
        <v>5061.0747036894027</v>
      </c>
      <c r="V9" s="17">
        <f t="shared" ref="V9:AL9" si="12">IFERROR(0.358*V8,"x")</f>
        <v>1570.8995938461539</v>
      </c>
      <c r="W9" s="17">
        <f t="shared" si="12"/>
        <v>1208.3843029585798</v>
      </c>
      <c r="X9" s="17">
        <f t="shared" si="12"/>
        <v>2618.1659897435893</v>
      </c>
      <c r="Y9" s="17">
        <f t="shared" si="12"/>
        <v>1963.6244923076922</v>
      </c>
      <c r="Z9" s="17">
        <f t="shared" si="12"/>
        <v>1047.2663958974358</v>
      </c>
      <c r="AA9" s="17">
        <f t="shared" si="12"/>
        <v>1921.4751400025948</v>
      </c>
      <c r="AB9" s="17">
        <f t="shared" si="12"/>
        <v>2059.4546666666665</v>
      </c>
      <c r="AC9" s="17">
        <f t="shared" si="12"/>
        <v>1596.9064454433667</v>
      </c>
      <c r="AD9" s="17">
        <f t="shared" si="12"/>
        <v>1450.794505602275</v>
      </c>
      <c r="AE9" s="17">
        <f t="shared" si="12"/>
        <v>2379.6546002628888</v>
      </c>
      <c r="AF9" s="17">
        <f t="shared" si="12"/>
        <v>2686.1811856287422</v>
      </c>
      <c r="AG9" s="17">
        <f t="shared" si="12"/>
        <v>2287.5454957330244</v>
      </c>
      <c r="AH9" s="17">
        <f t="shared" si="12"/>
        <v>1071.5862307781103</v>
      </c>
      <c r="AI9" s="17">
        <f t="shared" si="12"/>
        <v>2435.1038729257662</v>
      </c>
      <c r="AJ9" s="17">
        <f t="shared" si="12"/>
        <v>2956.3831925713494</v>
      </c>
      <c r="AK9" s="17">
        <f t="shared" si="12"/>
        <v>2287.5454957330244</v>
      </c>
      <c r="AL9" s="17">
        <f t="shared" si="12"/>
        <v>2568.335858975272</v>
      </c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</row>
    <row r="10" spans="1:65" x14ac:dyDescent="0.25">
      <c r="A10" s="15" t="s">
        <v>37</v>
      </c>
      <c r="B10" s="17">
        <f>IFERROR(12*B14/B13,"x")</f>
        <v>5155.7840616966578</v>
      </c>
      <c r="C10" s="17">
        <f>IFERROR(12*C14/C13,"x")</f>
        <v>7326.75</v>
      </c>
      <c r="D10" s="17">
        <f>IFERROR(12*D14/D13,"x")</f>
        <v>4396.0499999999993</v>
      </c>
      <c r="E10" s="17">
        <f>IFERROR(12*E14/E13,"x")</f>
        <v>10510.254545454545</v>
      </c>
      <c r="F10" s="17">
        <f t="shared" ref="F10:G10" si="13">IFERROR(12*F14/F13,"x")</f>
        <v>3153.0763636363636</v>
      </c>
      <c r="G10" s="17">
        <f t="shared" si="13"/>
        <v>4204.1018181818181</v>
      </c>
      <c r="H10" s="17">
        <f t="shared" ref="H10:O10" si="14">IFERROR(12*H14/H13,"x")</f>
        <v>3549.9636363636364</v>
      </c>
      <c r="I10" s="17">
        <f t="shared" si="14"/>
        <v>1944</v>
      </c>
      <c r="J10" s="17">
        <f t="shared" si="14"/>
        <v>3499.2000000000003</v>
      </c>
      <c r="K10" s="17">
        <f t="shared" si="14"/>
        <v>7776</v>
      </c>
      <c r="L10" s="17">
        <f t="shared" si="14"/>
        <v>3246.4799999999996</v>
      </c>
      <c r="M10" s="17">
        <f t="shared" si="14"/>
        <v>3888</v>
      </c>
      <c r="N10" s="34">
        <f t="shared" si="14"/>
        <v>3016.2162162162163</v>
      </c>
      <c r="O10" s="34">
        <f t="shared" si="14"/>
        <v>5723.224425385918</v>
      </c>
      <c r="P10" s="34">
        <f t="shared" ref="P10:U10" si="15">IFERROR(12*P14/P13,"x")</f>
        <v>3262.237922469973</v>
      </c>
      <c r="Q10" s="34">
        <f t="shared" si="15"/>
        <v>7182.6466538593259</v>
      </c>
      <c r="R10" s="34">
        <f t="shared" si="15"/>
        <v>6038.0017687821428</v>
      </c>
      <c r="S10" s="34">
        <f t="shared" si="15"/>
        <v>7154.0305317323973</v>
      </c>
      <c r="T10" s="34">
        <f t="shared" si="15"/>
        <v>8172.7644794510907</v>
      </c>
      <c r="U10" s="34">
        <f t="shared" si="15"/>
        <v>12694.111775505966</v>
      </c>
      <c r="V10" s="17">
        <f t="shared" ref="V10:AF10" si="16">IFERROR(12*V14/V13,"x")</f>
        <v>3834.88</v>
      </c>
      <c r="W10" s="17">
        <f t="shared" si="16"/>
        <v>2949.9076923076923</v>
      </c>
      <c r="X10" s="17">
        <f t="shared" si="16"/>
        <v>6391.4666666666662</v>
      </c>
      <c r="Y10" s="17">
        <f t="shared" si="16"/>
        <v>4793.6000000000004</v>
      </c>
      <c r="Z10" s="17">
        <f t="shared" si="16"/>
        <v>2556.5866666666666</v>
      </c>
      <c r="AA10" s="17">
        <f t="shared" si="16"/>
        <v>4807.2380952380954</v>
      </c>
      <c r="AB10" s="17">
        <f t="shared" si="16"/>
        <v>5372.2</v>
      </c>
      <c r="AC10" s="17">
        <f t="shared" si="16"/>
        <v>4394.9481135870001</v>
      </c>
      <c r="AD10" s="17">
        <f t="shared" si="16"/>
        <v>3634.4280307654744</v>
      </c>
      <c r="AE10" s="17">
        <f t="shared" si="16"/>
        <v>6164.7804878048782</v>
      </c>
      <c r="AF10" s="17">
        <f t="shared" si="16"/>
        <v>7021</v>
      </c>
      <c r="AG10" s="17">
        <f t="shared" ref="AG10:AL10" si="17">IFERROR(12*AG14/AG13,"x")</f>
        <v>5297.2027972027972</v>
      </c>
      <c r="AH10" s="17">
        <f t="shared" si="17"/>
        <v>2807.5174825174822</v>
      </c>
      <c r="AI10" s="17">
        <f t="shared" si="17"/>
        <v>6091.7832167832157</v>
      </c>
      <c r="AJ10" s="17">
        <f t="shared" si="17"/>
        <v>7045.279720279721</v>
      </c>
      <c r="AK10" s="17">
        <f t="shared" si="17"/>
        <v>5297.2027972027972</v>
      </c>
      <c r="AL10" s="17">
        <f t="shared" si="17"/>
        <v>5720.9790209790208</v>
      </c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</row>
    <row r="11" spans="1:65" x14ac:dyDescent="0.25">
      <c r="A11" s="15" t="s">
        <v>38</v>
      </c>
      <c r="B11" s="17">
        <f>IFERROR(12*B16/B15,"x")</f>
        <v>1597.6470588235295</v>
      </c>
      <c r="C11" s="21" t="str">
        <f>IFERROR(12*C16/C15,"x")</f>
        <v>x</v>
      </c>
      <c r="D11" s="21" t="str">
        <f>IFERROR(12*D16/D15,"x")</f>
        <v>x</v>
      </c>
      <c r="E11" s="17">
        <f>IFERROR(12*E16/E15,"x")</f>
        <v>1304.3040000000001</v>
      </c>
      <c r="F11" s="17">
        <f t="shared" ref="F11:G11" si="18">IFERROR(12*F16/F15,"x")</f>
        <v>391.2912</v>
      </c>
      <c r="G11" s="17">
        <f t="shared" si="18"/>
        <v>521.72159999999997</v>
      </c>
      <c r="H11" s="17">
        <f t="shared" ref="H11:O11" si="19">IFERROR(12*H16/H15,"x")</f>
        <v>457.57333333333332</v>
      </c>
      <c r="I11" s="17">
        <f t="shared" si="19"/>
        <v>439.02439024390242</v>
      </c>
      <c r="J11" s="17">
        <f t="shared" si="19"/>
        <v>790.2439024390244</v>
      </c>
      <c r="K11" s="17">
        <f t="shared" si="19"/>
        <v>1756.0975609756097</v>
      </c>
      <c r="L11" s="17">
        <f t="shared" si="19"/>
        <v>733.17073170731703</v>
      </c>
      <c r="M11" s="17">
        <f t="shared" si="19"/>
        <v>878.04878048780483</v>
      </c>
      <c r="N11" s="34">
        <f t="shared" si="19"/>
        <v>411.10588235294119</v>
      </c>
      <c r="O11" s="34">
        <f t="shared" si="19"/>
        <v>650.57186762731953</v>
      </c>
      <c r="P11" s="34">
        <f t="shared" ref="P11:U11" si="20">IFERROR(12*P16/P15,"x")</f>
        <v>370.82596454757208</v>
      </c>
      <c r="Q11" s="34">
        <f t="shared" si="20"/>
        <v>816.46769387228596</v>
      </c>
      <c r="R11" s="34">
        <f t="shared" si="20"/>
        <v>686.3533203468221</v>
      </c>
      <c r="S11" s="34">
        <f t="shared" si="20"/>
        <v>813.21483453414942</v>
      </c>
      <c r="T11" s="34">
        <f t="shared" si="20"/>
        <v>929.01662697181234</v>
      </c>
      <c r="U11" s="34">
        <f t="shared" si="20"/>
        <v>1442.9684023973948</v>
      </c>
      <c r="V11" s="17">
        <f t="shared" ref="V11:AF11" si="21">IFERROR(12*V16/V15,"x")</f>
        <v>553.10769230769233</v>
      </c>
      <c r="W11" s="17">
        <f t="shared" si="21"/>
        <v>425.46745562130178</v>
      </c>
      <c r="X11" s="17">
        <f t="shared" si="21"/>
        <v>921.84615384615381</v>
      </c>
      <c r="Y11" s="17">
        <f t="shared" si="21"/>
        <v>691.38461538461536</v>
      </c>
      <c r="Z11" s="17">
        <f t="shared" si="21"/>
        <v>368.73846153846154</v>
      </c>
      <c r="AA11" s="17">
        <f t="shared" si="21"/>
        <v>560.01089918256127</v>
      </c>
      <c r="AB11" s="17">
        <f t="shared" si="21"/>
        <v>380.46666666666664</v>
      </c>
      <c r="AC11" s="17">
        <f t="shared" si="21"/>
        <v>65.684415584415589</v>
      </c>
      <c r="AD11" s="17">
        <f t="shared" si="21"/>
        <v>418.07058823529411</v>
      </c>
      <c r="AE11" s="17">
        <f t="shared" si="21"/>
        <v>482.29940119760477</v>
      </c>
      <c r="AF11" s="17">
        <f t="shared" si="21"/>
        <v>482.29940119760477</v>
      </c>
      <c r="AG11" s="17">
        <f t="shared" ref="AG11:AL11" si="22">IFERROR(12*AG16/AG15,"x")</f>
        <v>1092.5890903196175</v>
      </c>
      <c r="AH11" s="17">
        <f t="shared" si="22"/>
        <v>185.74014535433497</v>
      </c>
      <c r="AI11" s="17">
        <f t="shared" si="22"/>
        <v>710.18290870775138</v>
      </c>
      <c r="AJ11" s="17">
        <f t="shared" si="22"/>
        <v>1212.7738902547753</v>
      </c>
      <c r="AK11" s="17">
        <f t="shared" si="22"/>
        <v>1092.5890903196175</v>
      </c>
      <c r="AL11" s="17">
        <f t="shared" si="22"/>
        <v>1453.1434901250911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</row>
    <row r="12" spans="1:65" x14ac:dyDescent="0.25">
      <c r="A12" s="15" t="s">
        <v>28</v>
      </c>
      <c r="B12" s="17">
        <v>20</v>
      </c>
      <c r="C12" s="17">
        <v>20</v>
      </c>
      <c r="D12" s="17">
        <v>20</v>
      </c>
      <c r="E12" s="17">
        <v>40</v>
      </c>
      <c r="F12" s="17">
        <f>E12*0.3</f>
        <v>12</v>
      </c>
      <c r="G12" s="17">
        <f>E12*0.4</f>
        <v>16</v>
      </c>
      <c r="H12" s="17">
        <v>40</v>
      </c>
      <c r="I12" s="17">
        <v>90</v>
      </c>
      <c r="J12" s="17">
        <v>90</v>
      </c>
      <c r="K12" s="17">
        <v>90</v>
      </c>
      <c r="L12" s="17">
        <v>90</v>
      </c>
      <c r="M12" s="17">
        <v>90</v>
      </c>
      <c r="N12" s="34">
        <v>50</v>
      </c>
      <c r="O12" s="34">
        <v>12</v>
      </c>
      <c r="P12" s="34">
        <f>0.57*O12</f>
        <v>6.84</v>
      </c>
      <c r="Q12" s="34">
        <f>1.255*O12</f>
        <v>15.059999999999999</v>
      </c>
      <c r="R12" s="34">
        <f>1.055*O12</f>
        <v>12.66</v>
      </c>
      <c r="S12" s="34">
        <f>1.25*O12</f>
        <v>15</v>
      </c>
      <c r="T12" s="34">
        <f>1.428*O12</f>
        <v>17.135999999999999</v>
      </c>
      <c r="U12" s="34">
        <f>2.218*O12</f>
        <v>26.616</v>
      </c>
      <c r="V12" s="17">
        <v>90</v>
      </c>
      <c r="W12" s="17">
        <f>V12/1.3</f>
        <v>69.230769230769226</v>
      </c>
      <c r="X12" s="17">
        <f>V12/0.6</f>
        <v>150</v>
      </c>
      <c r="Y12" s="17">
        <f>V12/0.8</f>
        <v>112.5</v>
      </c>
      <c r="Z12" s="17">
        <f>V12/1.5</f>
        <v>60</v>
      </c>
      <c r="AA12" s="17">
        <v>145</v>
      </c>
      <c r="AB12" s="17">
        <v>40</v>
      </c>
      <c r="AC12" s="17">
        <v>0</v>
      </c>
      <c r="AD12" s="17">
        <v>36</v>
      </c>
      <c r="AE12" s="17">
        <v>158</v>
      </c>
      <c r="AF12" s="17">
        <v>158</v>
      </c>
      <c r="AG12" s="17">
        <v>40</v>
      </c>
      <c r="AH12" s="17">
        <v>40</v>
      </c>
      <c r="AI12" s="17">
        <v>40</v>
      </c>
      <c r="AJ12" s="17">
        <v>40</v>
      </c>
      <c r="AK12" s="17">
        <v>40</v>
      </c>
      <c r="AL12" s="17">
        <v>40</v>
      </c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</row>
    <row r="13" spans="1:65" s="18" customFormat="1" ht="15" customHeight="1" x14ac:dyDescent="0.25">
      <c r="A13" s="15" t="s">
        <v>31</v>
      </c>
      <c r="B13" s="26">
        <v>116.7</v>
      </c>
      <c r="C13" s="26">
        <v>80</v>
      </c>
      <c r="D13" s="26">
        <f>C13/0.6</f>
        <v>133.33333333333334</v>
      </c>
      <c r="E13" s="26">
        <v>55</v>
      </c>
      <c r="F13" s="26">
        <f>E13/0.3</f>
        <v>183.33333333333334</v>
      </c>
      <c r="G13" s="26">
        <f>E13/0.4</f>
        <v>137.5</v>
      </c>
      <c r="H13" s="26">
        <v>165</v>
      </c>
      <c r="I13" s="26">
        <v>300</v>
      </c>
      <c r="J13" s="26">
        <f>I13/1.8</f>
        <v>166.66666666666666</v>
      </c>
      <c r="K13" s="26">
        <f>I13/4</f>
        <v>75</v>
      </c>
      <c r="L13" s="26">
        <f>I13/1.67</f>
        <v>179.64071856287427</v>
      </c>
      <c r="M13" s="26">
        <f>I13/2</f>
        <v>150</v>
      </c>
      <c r="N13" s="35">
        <v>185</v>
      </c>
      <c r="O13" s="35">
        <v>104.41666368162799</v>
      </c>
      <c r="P13" s="50">
        <f>O13/0.57</f>
        <v>183.18712926601404</v>
      </c>
      <c r="Q13" s="50">
        <f>O13/1.255</f>
        <v>83.200528829982474</v>
      </c>
      <c r="R13" s="50">
        <f>O13/1.055</f>
        <v>98.973140930453084</v>
      </c>
      <c r="S13" s="50">
        <f>O13/1.25</f>
        <v>83.533330945302396</v>
      </c>
      <c r="T13" s="50">
        <f>O13/1.428</f>
        <v>73.120912942316522</v>
      </c>
      <c r="U13" s="50">
        <f>O13/2.218</f>
        <v>47.076944851951303</v>
      </c>
      <c r="V13" s="26">
        <v>150</v>
      </c>
      <c r="W13" s="26">
        <f>V13*1.3</f>
        <v>195</v>
      </c>
      <c r="X13" s="26">
        <v>90</v>
      </c>
      <c r="Y13" s="26">
        <f>V13*0.8</f>
        <v>120</v>
      </c>
      <c r="Z13" s="26">
        <f>V13*1.5</f>
        <v>225</v>
      </c>
      <c r="AA13" s="26">
        <v>126</v>
      </c>
      <c r="AB13" s="26">
        <v>120</v>
      </c>
      <c r="AC13" s="26">
        <v>124.31</v>
      </c>
      <c r="AD13" s="26">
        <v>163.82</v>
      </c>
      <c r="AE13" s="30">
        <v>82</v>
      </c>
      <c r="AF13" s="30">
        <v>72</v>
      </c>
      <c r="AG13" s="29">
        <v>114.4</v>
      </c>
      <c r="AH13" s="26">
        <f>AG13/0.53</f>
        <v>215.84905660377359</v>
      </c>
      <c r="AI13" s="26">
        <f>AG13/1.15</f>
        <v>99.478260869565233</v>
      </c>
      <c r="AJ13" s="26">
        <f>AG13/1.33</f>
        <v>86.015037593984957</v>
      </c>
      <c r="AK13" s="26">
        <f>AG13/1</f>
        <v>114.4</v>
      </c>
      <c r="AL13" s="26">
        <f>AG13/1.08</f>
        <v>105.92592592592592</v>
      </c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</row>
    <row r="14" spans="1:65" x14ac:dyDescent="0.25">
      <c r="A14" s="15" t="s">
        <v>32</v>
      </c>
      <c r="B14" s="17">
        <v>50140</v>
      </c>
      <c r="C14" s="17">
        <v>48845</v>
      </c>
      <c r="D14" s="17">
        <v>48845</v>
      </c>
      <c r="E14" s="17">
        <v>48172</v>
      </c>
      <c r="F14" s="17">
        <v>48172</v>
      </c>
      <c r="G14" s="17">
        <v>48172</v>
      </c>
      <c r="H14" s="17">
        <v>48812</v>
      </c>
      <c r="I14" s="17">
        <v>48600</v>
      </c>
      <c r="J14" s="17">
        <v>48600</v>
      </c>
      <c r="K14" s="17">
        <v>48600</v>
      </c>
      <c r="L14" s="17">
        <v>48600</v>
      </c>
      <c r="M14" s="17">
        <v>48600</v>
      </c>
      <c r="N14" s="34">
        <v>46500</v>
      </c>
      <c r="O14" s="34">
        <v>49800</v>
      </c>
      <c r="P14" s="34">
        <v>49800</v>
      </c>
      <c r="Q14" s="34">
        <v>49800</v>
      </c>
      <c r="R14" s="34">
        <v>49800</v>
      </c>
      <c r="S14" s="34">
        <v>49800</v>
      </c>
      <c r="T14" s="34">
        <v>49800</v>
      </c>
      <c r="U14" s="34">
        <v>49800</v>
      </c>
      <c r="V14" s="17">
        <v>47936</v>
      </c>
      <c r="W14" s="17">
        <v>47936</v>
      </c>
      <c r="X14" s="17">
        <v>47936</v>
      </c>
      <c r="Y14" s="17">
        <v>47936</v>
      </c>
      <c r="Z14" s="17">
        <v>47936</v>
      </c>
      <c r="AA14" s="17">
        <v>50476</v>
      </c>
      <c r="AB14" s="17">
        <v>53722</v>
      </c>
      <c r="AC14" s="17">
        <v>45528</v>
      </c>
      <c r="AD14" s="17">
        <v>49616</v>
      </c>
      <c r="AE14" s="22">
        <v>42126</v>
      </c>
      <c r="AF14" s="22">
        <v>42126</v>
      </c>
      <c r="AG14" s="17">
        <v>50500</v>
      </c>
      <c r="AH14" s="17">
        <v>50500</v>
      </c>
      <c r="AI14" s="17">
        <v>50500</v>
      </c>
      <c r="AJ14" s="17">
        <v>50500</v>
      </c>
      <c r="AK14" s="17">
        <v>50500</v>
      </c>
      <c r="AL14" s="17">
        <v>50500</v>
      </c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</row>
    <row r="15" spans="1:65" x14ac:dyDescent="0.25">
      <c r="A15" s="15" t="s">
        <v>33</v>
      </c>
      <c r="B15" s="26">
        <v>255</v>
      </c>
      <c r="C15" s="28" t="s">
        <v>35</v>
      </c>
      <c r="D15" s="28" t="s">
        <v>35</v>
      </c>
      <c r="E15" s="26">
        <v>250</v>
      </c>
      <c r="F15" s="26">
        <f>E15/0.3</f>
        <v>833.33333333333337</v>
      </c>
      <c r="G15" s="26">
        <f>E15/0.4</f>
        <v>625</v>
      </c>
      <c r="H15" s="27">
        <v>900</v>
      </c>
      <c r="I15" s="26">
        <v>820</v>
      </c>
      <c r="J15" s="26">
        <f>I15/1.8</f>
        <v>455.55555555555554</v>
      </c>
      <c r="K15" s="26">
        <f>I15/4</f>
        <v>205</v>
      </c>
      <c r="L15" s="26">
        <f>I15/1.67</f>
        <v>491.01796407185628</v>
      </c>
      <c r="M15" s="26">
        <f>I15/2</f>
        <v>410</v>
      </c>
      <c r="N15" s="35">
        <v>850</v>
      </c>
      <c r="O15" s="35">
        <v>534.91399999999999</v>
      </c>
      <c r="P15" s="50">
        <f>O15/0.57</f>
        <v>938.44561403508783</v>
      </c>
      <c r="Q15" s="50">
        <f>O15/1.255</f>
        <v>426.22629482071716</v>
      </c>
      <c r="R15" s="50">
        <f>O15/1.055</f>
        <v>507.02748815165876</v>
      </c>
      <c r="S15" s="50">
        <f>O15/1.25</f>
        <v>427.93119999999999</v>
      </c>
      <c r="T15" s="50">
        <f>O15/1.428</f>
        <v>374.58963585434174</v>
      </c>
      <c r="U15" s="50">
        <f>O15/2.218</f>
        <v>241.16952209197476</v>
      </c>
      <c r="V15" s="26">
        <v>650</v>
      </c>
      <c r="W15" s="26">
        <f>V15*1.3</f>
        <v>845</v>
      </c>
      <c r="X15" s="26">
        <v>390</v>
      </c>
      <c r="Y15" s="26">
        <f>V15*0.8</f>
        <v>520</v>
      </c>
      <c r="Z15" s="26">
        <f>V15*1.5</f>
        <v>975</v>
      </c>
      <c r="AA15" s="26">
        <v>734</v>
      </c>
      <c r="AB15" s="26">
        <v>900</v>
      </c>
      <c r="AC15" s="26">
        <v>6160</v>
      </c>
      <c r="AD15" s="26">
        <v>765</v>
      </c>
      <c r="AE15" s="30">
        <v>835</v>
      </c>
      <c r="AF15" s="30">
        <v>835</v>
      </c>
      <c r="AG15" s="26">
        <v>370.13</v>
      </c>
      <c r="AH15" s="26">
        <f>AG15/0.17</f>
        <v>2177.2352941176468</v>
      </c>
      <c r="AI15" s="26">
        <f>AG15/0.65</f>
        <v>569.43076923076922</v>
      </c>
      <c r="AJ15" s="26">
        <f>AG15/1.11</f>
        <v>333.45045045045043</v>
      </c>
      <c r="AK15" s="26">
        <f>AG15/1</f>
        <v>370.13</v>
      </c>
      <c r="AL15" s="26">
        <f>AG15/1.33</f>
        <v>278.29323308270676</v>
      </c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</row>
    <row r="16" spans="1:65" x14ac:dyDescent="0.25">
      <c r="A16" s="15" t="s">
        <v>34</v>
      </c>
      <c r="B16" s="17">
        <v>33950</v>
      </c>
      <c r="C16" s="21" t="s">
        <v>35</v>
      </c>
      <c r="D16" s="21" t="s">
        <v>35</v>
      </c>
      <c r="E16" s="17">
        <v>27173</v>
      </c>
      <c r="F16" s="17">
        <v>27173</v>
      </c>
      <c r="G16" s="17">
        <v>27173</v>
      </c>
      <c r="H16" s="22">
        <v>34318</v>
      </c>
      <c r="I16" s="17">
        <v>30000</v>
      </c>
      <c r="J16" s="17">
        <v>30000</v>
      </c>
      <c r="K16" s="17">
        <v>30000</v>
      </c>
      <c r="L16" s="17">
        <v>30000</v>
      </c>
      <c r="M16" s="17">
        <v>30000</v>
      </c>
      <c r="N16" s="34">
        <v>29120</v>
      </c>
      <c r="O16" s="34">
        <v>29000</v>
      </c>
      <c r="P16" s="34">
        <v>29000</v>
      </c>
      <c r="Q16" s="34">
        <v>29000</v>
      </c>
      <c r="R16" s="34">
        <v>29000</v>
      </c>
      <c r="S16" s="34">
        <v>29000</v>
      </c>
      <c r="T16" s="34">
        <v>29000</v>
      </c>
      <c r="U16" s="34">
        <v>29000</v>
      </c>
      <c r="V16" s="17">
        <v>29960</v>
      </c>
      <c r="W16" s="17">
        <v>29960</v>
      </c>
      <c r="X16" s="17">
        <v>29960</v>
      </c>
      <c r="Y16" s="17">
        <v>29960</v>
      </c>
      <c r="Z16" s="17">
        <v>29960</v>
      </c>
      <c r="AA16" s="17">
        <v>34254</v>
      </c>
      <c r="AB16" s="17">
        <v>28535</v>
      </c>
      <c r="AC16" s="17">
        <v>33718</v>
      </c>
      <c r="AD16" s="17">
        <v>26652</v>
      </c>
      <c r="AE16" s="22">
        <v>33560</v>
      </c>
      <c r="AF16" s="22">
        <v>33560</v>
      </c>
      <c r="AG16" s="17">
        <v>33700</v>
      </c>
      <c r="AH16" s="17">
        <v>33700</v>
      </c>
      <c r="AI16" s="17">
        <v>33700</v>
      </c>
      <c r="AJ16" s="17">
        <v>33700</v>
      </c>
      <c r="AK16" s="17">
        <v>33700</v>
      </c>
      <c r="AL16" s="17">
        <v>33700</v>
      </c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</row>
    <row r="17" spans="1:65" ht="90" customHeight="1" x14ac:dyDescent="0.25">
      <c r="A17" s="25" t="s">
        <v>39</v>
      </c>
      <c r="B17" s="19" t="s">
        <v>55</v>
      </c>
      <c r="C17" s="43" t="s">
        <v>57</v>
      </c>
      <c r="D17" s="43"/>
      <c r="E17" s="43" t="s">
        <v>55</v>
      </c>
      <c r="F17" s="43"/>
      <c r="G17" s="43"/>
      <c r="H17" s="19" t="s">
        <v>55</v>
      </c>
      <c r="I17" s="43" t="s">
        <v>57</v>
      </c>
      <c r="J17" s="43"/>
      <c r="K17" s="43"/>
      <c r="L17" s="43"/>
      <c r="M17" s="43"/>
      <c r="N17" s="19" t="s">
        <v>55</v>
      </c>
      <c r="O17" s="43" t="s">
        <v>57</v>
      </c>
      <c r="P17" s="43"/>
      <c r="Q17" s="43"/>
      <c r="R17" s="43"/>
      <c r="S17" s="43"/>
      <c r="T17" s="43"/>
      <c r="U17" s="43"/>
      <c r="V17" s="43" t="s">
        <v>57</v>
      </c>
      <c r="W17" s="43"/>
      <c r="X17" s="43"/>
      <c r="Y17" s="43"/>
      <c r="Z17" s="43"/>
      <c r="AA17" s="19" t="s">
        <v>55</v>
      </c>
      <c r="AB17" s="19" t="s">
        <v>55</v>
      </c>
      <c r="AC17" s="19" t="s">
        <v>55</v>
      </c>
      <c r="AD17" s="19" t="s">
        <v>55</v>
      </c>
      <c r="AE17" s="19" t="s">
        <v>56</v>
      </c>
      <c r="AF17" s="19" t="s">
        <v>56</v>
      </c>
      <c r="AG17" s="43" t="s">
        <v>57</v>
      </c>
      <c r="AH17" s="43"/>
      <c r="AI17" s="43"/>
      <c r="AJ17" s="43"/>
      <c r="AK17" s="43"/>
      <c r="AL17" s="43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</row>
    <row r="18" spans="1:65" ht="33.75" customHeight="1" x14ac:dyDescent="0.25">
      <c r="A18" s="61" t="s">
        <v>61</v>
      </c>
      <c r="B18" s="62">
        <v>1</v>
      </c>
      <c r="C18" s="66">
        <v>2</v>
      </c>
      <c r="D18" s="67"/>
      <c r="E18" s="66">
        <v>3</v>
      </c>
      <c r="F18" s="70"/>
      <c r="G18" s="67"/>
      <c r="H18" s="62">
        <v>1</v>
      </c>
      <c r="I18" s="68">
        <v>5</v>
      </c>
      <c r="J18" s="69"/>
      <c r="K18" s="69"/>
      <c r="L18" s="69"/>
      <c r="M18" s="69"/>
      <c r="N18" s="61">
        <v>1</v>
      </c>
      <c r="O18" s="68">
        <v>7</v>
      </c>
      <c r="P18" s="69"/>
      <c r="Q18" s="69"/>
      <c r="R18" s="69"/>
      <c r="S18" s="69"/>
      <c r="T18" s="69"/>
      <c r="U18" s="69"/>
      <c r="V18" s="68">
        <v>5</v>
      </c>
      <c r="W18" s="69"/>
      <c r="X18" s="69"/>
      <c r="Y18" s="69"/>
      <c r="Z18" s="69"/>
      <c r="AA18" s="62">
        <v>1</v>
      </c>
      <c r="AB18" s="62">
        <v>1</v>
      </c>
      <c r="AC18" s="62">
        <v>1</v>
      </c>
      <c r="AD18" s="62">
        <v>1</v>
      </c>
      <c r="AE18" s="66">
        <v>2</v>
      </c>
      <c r="AF18" s="67"/>
      <c r="AG18" s="68">
        <v>6</v>
      </c>
      <c r="AH18" s="69"/>
      <c r="AI18" s="69"/>
      <c r="AJ18" s="69"/>
      <c r="AK18" s="69"/>
      <c r="AL18" s="69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</row>
    <row r="20" spans="1:65" x14ac:dyDescent="0.25">
      <c r="A20" s="16" t="s">
        <v>68</v>
      </c>
    </row>
    <row r="21" spans="1:65" x14ac:dyDescent="0.25">
      <c r="A21" s="16" t="s">
        <v>58</v>
      </c>
    </row>
  </sheetData>
  <mergeCells count="10">
    <mergeCell ref="A1:AL1"/>
    <mergeCell ref="A4:A5"/>
    <mergeCell ref="A2:AL2"/>
    <mergeCell ref="AE18:AF18"/>
    <mergeCell ref="C18:D18"/>
    <mergeCell ref="I18:M18"/>
    <mergeCell ref="O18:U18"/>
    <mergeCell ref="V18:Z18"/>
    <mergeCell ref="AG18:AL18"/>
    <mergeCell ref="E18:G18"/>
  </mergeCells>
  <phoneticPr fontId="5" type="noConversion"/>
  <printOptions horizontalCentered="1"/>
  <pageMargins left="0.39370078740157483" right="0.39370078740157483" top="0.55118110236220474" bottom="0.55118110236220474" header="0.31496062992125984" footer="0.31496062992125984"/>
  <pageSetup paperSize="9" scale="78" fitToWidth="2" fitToHeight="0" orientation="landscape" r:id="rId1"/>
  <headerFooter>
    <oddHeader>&amp;RPříloha č. 6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titul</vt:lpstr>
      <vt:lpstr>SPC 2022</vt:lpstr>
      <vt:lpstr>'SPC 2022'!Názvy_tisku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Vyšinská Anežka</cp:lastModifiedBy>
  <cp:lastPrinted>2023-01-20T12:31:05Z</cp:lastPrinted>
  <dcterms:created xsi:type="dcterms:W3CDTF">2013-04-19T07:05:39Z</dcterms:created>
  <dcterms:modified xsi:type="dcterms:W3CDTF">2023-01-20T12:31:24Z</dcterms:modified>
</cp:coreProperties>
</file>