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180" windowHeight="8340" activeTab="4"/>
  </bookViews>
  <sheets>
    <sheet name="T1" sheetId="1" r:id="rId1"/>
    <sheet name="T2 udr" sheetId="2" r:id="rId2"/>
    <sheet name="T3" sheetId="3" r:id="rId3"/>
    <sheet name="T4bil" sheetId="4" r:id="rId4"/>
    <sheet name="T5Org" sheetId="5" r:id="rId5"/>
    <sheet name="T6" sheetId="6" r:id="rId6"/>
    <sheet name="T7" sheetId="7" r:id="rId7"/>
  </sheets>
  <externalReferences>
    <externalReference r:id="rId10"/>
    <externalReference r:id="rId11"/>
  </externalReferences>
  <definedNames>
    <definedName name="Archiv">[2]!Vloz_aktualni_nastaveni</definedName>
    <definedName name="dopln" localSheetId="2">[2]!Vloz_aktualni_nastaveni</definedName>
    <definedName name="dopln">[2]!Vloz_aktualni_nastaveni</definedName>
    <definedName name="_xlnm.Print_Titles" localSheetId="0">'T1'!$5:$9</definedName>
    <definedName name="neuz" localSheetId="2">[1]!Vloz_aktualni_nastaveni</definedName>
    <definedName name="neuz" localSheetId="6">[2]!Vloz_aktualni_nastaveni</definedName>
    <definedName name="neuz">[1]!Vloz_aktualni_nastaveni</definedName>
    <definedName name="Udrz" localSheetId="6">[2]!Vloz_aktualni_nastaveni</definedName>
    <definedName name="Udrz">[1]!Vloz_aktualni_nastaveni</definedName>
    <definedName name="Vloz_aktualni_nastaveni" localSheetId="2">[1]!Vloz_aktualni_nastaveni</definedName>
    <definedName name="Vloz_aktualni_nastaveni" localSheetId="6">[2]!Vloz_aktualni_nastaveni</definedName>
    <definedName name="Vloz_aktualni_nastaveni">[1]!Vloz_aktualni_nastaveni</definedName>
  </definedNames>
  <calcPr fullCalcOnLoad="1"/>
</workbook>
</file>

<file path=xl/comments1.xml><?xml version="1.0" encoding="utf-8"?>
<comments xmlns="http://schemas.openxmlformats.org/spreadsheetml/2006/main">
  <authors>
    <author>Avratov? Hana</author>
  </authors>
  <commentList>
    <comment ref="I82" authorId="0">
      <text>
        <r>
          <rPr>
            <b/>
            <sz val="9"/>
            <rFont val="Tahoma"/>
            <family val="0"/>
          </rPr>
          <t>Avratová Hana:</t>
        </r>
        <r>
          <rPr>
            <sz val="9"/>
            <rFont val="Tahoma"/>
            <family val="0"/>
          </rPr>
          <t xml:space="preserve">
 zahrnuje odpisy 287630+261872 a razítka, změny adresy atd. 137000
</t>
        </r>
      </text>
    </comment>
  </commentList>
</comments>
</file>

<file path=xl/comments3.xml><?xml version="1.0" encoding="utf-8"?>
<comments xmlns="http://schemas.openxmlformats.org/spreadsheetml/2006/main">
  <authors>
    <author>Avratov? Hana</author>
  </authors>
  <commentList>
    <comment ref="I78" authorId="0">
      <text>
        <r>
          <rPr>
            <b/>
            <sz val="9"/>
            <rFont val="Tahoma"/>
            <family val="0"/>
          </rPr>
          <t>Avratová Hana:</t>
        </r>
        <r>
          <rPr>
            <sz val="9"/>
            <rFont val="Tahoma"/>
            <family val="0"/>
          </rPr>
          <t xml:space="preserve">
 zahrnuje odpisy 287630+261872 a razítka, změny adresy atd. 137000
</t>
        </r>
      </text>
    </comment>
  </commentList>
</comments>
</file>

<file path=xl/comments4.xml><?xml version="1.0" encoding="utf-8"?>
<comments xmlns="http://schemas.openxmlformats.org/spreadsheetml/2006/main">
  <authors>
    <author>Avratov? Hana</author>
  </authors>
  <commentList>
    <comment ref="I87" authorId="0">
      <text>
        <r>
          <rPr>
            <b/>
            <sz val="9"/>
            <rFont val="Tahoma"/>
            <family val="0"/>
          </rPr>
          <t>Avratová Hana:</t>
        </r>
        <r>
          <rPr>
            <sz val="9"/>
            <rFont val="Tahoma"/>
            <family val="0"/>
          </rPr>
          <t xml:space="preserve">
 zahrnuje odpisy 287630+261872 a razítka, změny adresy atd. 137000
</t>
        </r>
      </text>
    </comment>
  </commentList>
</comments>
</file>

<file path=xl/sharedStrings.xml><?xml version="1.0" encoding="utf-8"?>
<sst xmlns="http://schemas.openxmlformats.org/spreadsheetml/2006/main" count="605" uniqueCount="279">
  <si>
    <t>celkem</t>
  </si>
  <si>
    <t>platy</t>
  </si>
  <si>
    <t>OON</t>
  </si>
  <si>
    <t>v tom</t>
  </si>
  <si>
    <t>Odvody</t>
  </si>
  <si>
    <t>z toho</t>
  </si>
  <si>
    <t>Běžné výdaje celkem</t>
  </si>
  <si>
    <t>Ostatní běžné výdaje</t>
  </si>
  <si>
    <t>Výnosy celkem</t>
  </si>
  <si>
    <t>Počet zaměstnanců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</si>
  <si>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</si>
  <si>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</si>
  <si>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</si>
  <si>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</si>
  <si>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</si>
  <si>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</si>
  <si>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</si>
  <si>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</si>
  <si>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</si>
  <si>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DZS</t>
  </si>
  <si>
    <t>KJWF</t>
  </si>
  <si>
    <t>Příspěvek</t>
  </si>
  <si>
    <t>Počet</t>
  </si>
  <si>
    <t>MP</t>
  </si>
  <si>
    <t>FKSP</t>
  </si>
  <si>
    <t>Ostatní</t>
  </si>
  <si>
    <t>zaměst.</t>
  </si>
  <si>
    <t>běž.výdaje</t>
  </si>
  <si>
    <t>Organizace</t>
  </si>
  <si>
    <t>Poznámka</t>
  </si>
  <si>
    <t>A.</t>
  </si>
  <si>
    <t xml:space="preserve">Rozpis závazných ukazatelů </t>
  </si>
  <si>
    <t>B.</t>
  </si>
  <si>
    <t>Porovnání možností a potřeb, rekapitulace finančního zabezpečení</t>
  </si>
  <si>
    <t>Tabulka č. 4</t>
  </si>
  <si>
    <t>Tabulka č. 5</t>
  </si>
  <si>
    <t>Organizce OPŘO celkem</t>
  </si>
  <si>
    <t>MP ze  SR</t>
  </si>
  <si>
    <t>KMENOVÁ ČINNOST</t>
  </si>
  <si>
    <t xml:space="preserve">Celkem  rozepsaný rozpočet </t>
  </si>
  <si>
    <t>PC Český Těšín</t>
  </si>
  <si>
    <t>ADV</t>
  </si>
  <si>
    <t>VSC</t>
  </si>
  <si>
    <t>Běžné</t>
  </si>
  <si>
    <t>výdaje</t>
  </si>
  <si>
    <t>Příjmy</t>
  </si>
  <si>
    <t>výdaje na zahr. cesty zaměstn. MŠMT</t>
  </si>
  <si>
    <t>Účelové prostředky celkem</t>
  </si>
  <si>
    <t>A+B</t>
  </si>
  <si>
    <t>Potřeba celkem a návrh finančního zabezpečení</t>
  </si>
  <si>
    <t>Závazné ukazatele rozpočtu státní správy</t>
  </si>
  <si>
    <t>Tabulka č. 3</t>
  </si>
  <si>
    <t>Nerozepsané prostředky celkem</t>
  </si>
  <si>
    <t>Ukazatele</t>
  </si>
  <si>
    <t>Náklady celkem</t>
  </si>
  <si>
    <t>Příspěvek celkem</t>
  </si>
  <si>
    <t>Odvody zdrav.a soc.</t>
  </si>
  <si>
    <t>Zapojení FO na platy</t>
  </si>
  <si>
    <t>Prostředky ze zahraničí</t>
  </si>
  <si>
    <t>NIDV</t>
  </si>
  <si>
    <t>CZVV</t>
  </si>
  <si>
    <t>Tabulka č. 1</t>
  </si>
  <si>
    <t>MŠMT  c e l k e m</t>
  </si>
  <si>
    <t>C e l k e m státní správa</t>
  </si>
  <si>
    <t>Prostředky ponechané u příkazce svodných rozp.opatř. celkem</t>
  </si>
  <si>
    <t>Závazné ukazatele rozpočtu sportovní reprezentace</t>
  </si>
  <si>
    <t>CELKEM  návrh rozpisu</t>
  </si>
  <si>
    <t>Počet zam.</t>
  </si>
  <si>
    <t>Celkem</t>
  </si>
  <si>
    <t>Kmenová činnost</t>
  </si>
  <si>
    <t>Provoz celkem</t>
  </si>
  <si>
    <t>SÚ celkem</t>
  </si>
  <si>
    <t>Projekty</t>
  </si>
  <si>
    <t xml:space="preserve">Potřeba celkem a návrh finančního zabezpečení </t>
  </si>
  <si>
    <t>Prostředky u příkazce svodných rozp.operací</t>
  </si>
  <si>
    <t>Projekty celkem</t>
  </si>
  <si>
    <t>Rozpisem uvolněné prostředky celkem</t>
  </si>
  <si>
    <t>*)</t>
  </si>
  <si>
    <t>z toho organizace</t>
  </si>
  <si>
    <t>Účelové prostředky</t>
  </si>
  <si>
    <t>Evropské školy Brusel a Lucemburk</t>
  </si>
  <si>
    <t>Účelové úkoly *)</t>
  </si>
  <si>
    <t xml:space="preserve">Vzdělávací seminář pro české učitele "Jak vyučovat o holocaustu" </t>
  </si>
  <si>
    <t xml:space="preserve">Náklady na činnost NK CEEPUS </t>
  </si>
  <si>
    <t>NTK</t>
  </si>
  <si>
    <t xml:space="preserve">NTK </t>
  </si>
  <si>
    <t>příjmy - splátka EIB</t>
  </si>
  <si>
    <t>příjmy - ostatní</t>
  </si>
  <si>
    <t>EUROPASS</t>
  </si>
  <si>
    <t>Stipendia občanů ČR v zahraničí</t>
  </si>
  <si>
    <t>Projekt Pirna</t>
  </si>
  <si>
    <t>Přijetí expertů</t>
  </si>
  <si>
    <t>Celkem NIDV</t>
  </si>
  <si>
    <t>Příspěvky a vklady mezinárodním organizacím</t>
  </si>
  <si>
    <t>Zapojení RF</t>
  </si>
  <si>
    <t>Zapojlení RF</t>
  </si>
  <si>
    <t xml:space="preserve">Náklady celkem </t>
  </si>
  <si>
    <t xml:space="preserve">Výnosy celkem </t>
  </si>
  <si>
    <t>NÚV</t>
  </si>
  <si>
    <t>NPMKK</t>
  </si>
  <si>
    <t xml:space="preserve">Stipendia v programu AKTION </t>
  </si>
  <si>
    <t>Celkem NÚV</t>
  </si>
  <si>
    <t xml:space="preserve">Stipendium Madeleine Albrightové na Univerzitě v Glasgow </t>
  </si>
  <si>
    <t xml:space="preserve">platy </t>
  </si>
  <si>
    <t xml:space="preserve">OON </t>
  </si>
  <si>
    <t xml:space="preserve">MP </t>
  </si>
  <si>
    <t>PC ČT</t>
  </si>
  <si>
    <t>Odbor 64 - dárkový sklad</t>
  </si>
  <si>
    <t>Kurzové rozdíly</t>
  </si>
  <si>
    <t>Evropské školy Brusel a Lucemburk příp.zvolení ředitele</t>
  </si>
  <si>
    <t>Pokusné ověřování Matematika+</t>
  </si>
  <si>
    <t>Odbor 64 - pohoštění  a drobné dary odboru</t>
  </si>
  <si>
    <t xml:space="preserve">Ostatní centra - MO + MV </t>
  </si>
  <si>
    <t>Společné úkoly u příkazce svodných rozp. operací</t>
  </si>
  <si>
    <t>Pilotní ověřování přijímacího řízení na SŠ 2015</t>
  </si>
  <si>
    <t>v Kč</t>
  </si>
  <si>
    <t>ReferNet</t>
  </si>
  <si>
    <t>Kulturní dědictví</t>
  </si>
  <si>
    <t>OPŘO</t>
  </si>
  <si>
    <t>Systém výuky a zkoušek z českého jazyka pro cizince jako jedné z podmínek pro udělení trvalého pobytu (Čeština pro cizince)</t>
  </si>
  <si>
    <t>Systém zkoušek z českých reálií pro účely udělení státního občanství ČR</t>
  </si>
  <si>
    <t>Název úkolu</t>
  </si>
  <si>
    <t>Metodický portál rvp.cz - udržitelnost</t>
  </si>
  <si>
    <t>Pospolu - udržitelnost</t>
  </si>
  <si>
    <t>Zajišťování udržitelnosti projektu Kariérové poradenství v podmínkách kurikulární reformy (VIPII-KP)</t>
  </si>
  <si>
    <t>Implementace Systému péče a podpory nadání v ČR (SPN) - PERUN</t>
  </si>
  <si>
    <t>odb. 64</t>
  </si>
  <si>
    <t>Konsorciální poplatky</t>
  </si>
  <si>
    <t>Tisk pracovních sešitů Matermatika pro 6.a7.ročník ZŠ v pološtině</t>
  </si>
  <si>
    <t>Odbor 63 - pohoštění  a drobné dary odboru</t>
  </si>
  <si>
    <t>Mimořádné potřeby MŠMT</t>
  </si>
  <si>
    <t>Komenského škola ve Vídni</t>
  </si>
  <si>
    <t xml:space="preserve">DZS - Evropské školy Brusel a Lucemburk </t>
  </si>
  <si>
    <t>Zajištěno v rámci rozpočtu OPŘO</t>
  </si>
  <si>
    <r>
      <t xml:space="preserve">Celkové </t>
    </r>
    <r>
      <rPr>
        <b/>
        <sz val="16"/>
        <rFont val="Arial CE"/>
        <family val="0"/>
      </rPr>
      <t>požadavky</t>
    </r>
    <r>
      <rPr>
        <b/>
        <sz val="16"/>
        <rFont val="Arial CE"/>
        <family val="2"/>
      </rPr>
      <t xml:space="preserve"> na rozpis </t>
    </r>
    <r>
      <rPr>
        <b/>
        <sz val="16"/>
        <rFont val="Arial CE"/>
        <family val="0"/>
      </rPr>
      <t xml:space="preserve">běžných výdajů financovaných z </t>
    </r>
    <r>
      <rPr>
        <b/>
        <sz val="16"/>
        <rFont val="Arial CE"/>
        <family val="2"/>
      </rPr>
      <t>rozpočtu OPŘO na r. 2016</t>
    </r>
  </si>
  <si>
    <t>Priority resortu realizované v r. 2016</t>
  </si>
  <si>
    <t>Účelové/ostatní prostředky</t>
  </si>
  <si>
    <t>sek. II/NÚV</t>
  </si>
  <si>
    <t>Mezinárodní konference</t>
  </si>
  <si>
    <t>Mezinárodní aktivity celkem</t>
  </si>
  <si>
    <t xml:space="preserve">Mezinárodní aktivity </t>
  </si>
  <si>
    <t>Účelové/ostatní prostředky celkem</t>
  </si>
  <si>
    <t>Navýšení tarifních platů o 3% dopočet</t>
  </si>
  <si>
    <t>EUROPASS navýšení</t>
  </si>
  <si>
    <t xml:space="preserve">krajské semináře </t>
  </si>
  <si>
    <t>Občanské vzdělávání-pokusné ověřování</t>
  </si>
  <si>
    <t>Věda bez hranic - sekce III navrhuje v rámci rámce KČ</t>
  </si>
  <si>
    <t>AMVIA - čekáme na stan. sekce VI zatím úroveň 2015</t>
  </si>
  <si>
    <t>Neuznatelné výdaje IPn - odvod a penále</t>
  </si>
  <si>
    <t>Nárůst resortních projektů v gesci sekce II</t>
  </si>
  <si>
    <t xml:space="preserve">Udržitelnost </t>
  </si>
  <si>
    <t>Celkem není zajištěno</t>
  </si>
  <si>
    <t>v případě použití NEURČENÉ rezervy KČ, by zbylo k volnému použití</t>
  </si>
  <si>
    <t>NEZAJIŠTĚNÉ POŽADAVKY</t>
  </si>
  <si>
    <t>10x50 000</t>
  </si>
  <si>
    <t>NÚV,z RgŠ/NA</t>
  </si>
  <si>
    <t>NIDV,v r.2015 z ML</t>
  </si>
  <si>
    <t>NIDV,v r.2015 z vnitra</t>
  </si>
  <si>
    <t>Integrace cizinců - Žáci cizinci ve školách *)</t>
  </si>
  <si>
    <t>Sekce I</t>
  </si>
  <si>
    <t>Sekce II</t>
  </si>
  <si>
    <t>Sekce III</t>
  </si>
  <si>
    <t>Sekce V, odb. 50</t>
  </si>
  <si>
    <t>Sekce V, odb. 51</t>
  </si>
  <si>
    <t>Sekce VI, odb. 63</t>
  </si>
  <si>
    <t>Sekce VI, odb. 64</t>
  </si>
  <si>
    <t>Horizont 2020</t>
  </si>
  <si>
    <t>Rozpis běžných výdajů  státní správy na r. 2016</t>
  </si>
  <si>
    <t>MŠMT - odbor S2- náhrady</t>
  </si>
  <si>
    <t>MŠMT - odbor S2 -  školení zaměstnanců</t>
  </si>
  <si>
    <t xml:space="preserve">          Odbor M3 - Akreditační komise </t>
  </si>
  <si>
    <t>Odbor M3 - Akreditační komise</t>
  </si>
  <si>
    <t>Oddělení 800</t>
  </si>
  <si>
    <t>Oddělení 801 - zajištění ICT</t>
  </si>
  <si>
    <t>MŠMT - odbor S2 - platy státní zaměstnanci</t>
  </si>
  <si>
    <t>st. služba</t>
  </si>
  <si>
    <t>prac. poměr</t>
  </si>
  <si>
    <t>prac.</t>
  </si>
  <si>
    <t>poměr</t>
  </si>
  <si>
    <t>st.</t>
  </si>
  <si>
    <t>služba</t>
  </si>
  <si>
    <t xml:space="preserve">v tom Sekce 1 </t>
  </si>
  <si>
    <t xml:space="preserve">          Sekce 3</t>
  </si>
  <si>
    <t>OPPP</t>
  </si>
  <si>
    <t xml:space="preserve">          Sekce 6</t>
  </si>
  <si>
    <t xml:space="preserve">          Sekce 5 </t>
  </si>
  <si>
    <t xml:space="preserve">          Sekce 2</t>
  </si>
  <si>
    <t>Nerozepsané MP</t>
  </si>
  <si>
    <t>ČŠI - provoz</t>
  </si>
  <si>
    <t>MŠMT - odbor S2 - dohody sekcí a AK celkem</t>
  </si>
  <si>
    <t>Rozpis rozpočtu běžných výdajů státní sportovní reprezentace - resortní centra na r. 2016</t>
  </si>
  <si>
    <t>Příjmy/ Výnosy</t>
  </si>
  <si>
    <t>Nová závěrečná zkouška - udržitelnost</t>
  </si>
  <si>
    <t>V rámci jiných částí rozpočtu kapitoly MŠMT</t>
  </si>
  <si>
    <t>z Mládeže  PV 2.9. (vč. navýšení)</t>
  </si>
  <si>
    <t>LPZ je z OPŘO</t>
  </si>
  <si>
    <t>v rámci společného vzdělávání z RgŠ, vč. LPZ</t>
  </si>
  <si>
    <t>Nadpožadavky</t>
  </si>
  <si>
    <t>Národní soustava kvalififkací (NSK)</t>
  </si>
  <si>
    <t xml:space="preserve">Národní soustava kvalififkací (NSK) navýšení NÚV </t>
  </si>
  <si>
    <t>K rozhodnutí nadpožadavky NÚV</t>
  </si>
  <si>
    <t>PC ČT - platové postupy</t>
  </si>
  <si>
    <t>odsouhlaseno sekcí II</t>
  </si>
  <si>
    <t xml:space="preserve">NÚV Revizní pracoviště </t>
  </si>
  <si>
    <t>DZS - navýšení o zam. sek. VI</t>
  </si>
  <si>
    <t>podle mzdové inventury + řešení AMVIA a VbH</t>
  </si>
  <si>
    <t>Ukazatele rozpočtu OPŘO na rok 2016</t>
  </si>
  <si>
    <t>NÚV, čekáme na vyjádření sekce II</t>
  </si>
  <si>
    <t>Eurostudent - jen poplatek</t>
  </si>
  <si>
    <t>sekce III,  předpokládá se refundace 759 000  sek.I (254 000 ze SU s.III)</t>
  </si>
  <si>
    <t>sek.III upřesní potřebu; bude stanoveno jednotné řešení pro všechny sekce</t>
  </si>
  <si>
    <t>z toho ukončené = snížení celkem</t>
  </si>
  <si>
    <t xml:space="preserve">          navýšení/změny stávajících NÚV a NIDV</t>
  </si>
  <si>
    <t xml:space="preserve">          nové NÚV a NIDV</t>
  </si>
  <si>
    <t xml:space="preserve">          navýšení celkem</t>
  </si>
  <si>
    <t>sekce II zatím nerozhodla</t>
  </si>
  <si>
    <t>NIQES - ČŠI</t>
  </si>
  <si>
    <t>Cizinci (účelové prostředky)</t>
  </si>
  <si>
    <t>NIDV, v r.2015 z OPŘO</t>
  </si>
  <si>
    <t xml:space="preserve">Reálie pro účely udělení státní občanství ČR navýšení </t>
  </si>
  <si>
    <t>Další požadavky celkem nezajištěné</t>
  </si>
  <si>
    <t>Archivace ukončených projektů s EU - NÚV</t>
  </si>
  <si>
    <t>v r.2015 z NA,NÚV vyzván k analýze;nepředloženo</t>
  </si>
  <si>
    <t>sekce II - navrhl vyhlášení rozvojového programu, tj. RgŠ; objem upřesní</t>
  </si>
  <si>
    <t>Hodina pohybu navíc - NÚV</t>
  </si>
  <si>
    <t>sek.V aktivní přístup a) z vratek dotací (NA); b) program "9"; c) normální NA</t>
  </si>
  <si>
    <t>WEB -  NIDV</t>
  </si>
  <si>
    <t xml:space="preserve">Soutěže - NIDV </t>
  </si>
  <si>
    <t>z Mládeže - soutěže</t>
  </si>
  <si>
    <t>sek. III - několik refundací v r.2016;  část z normálních NA, zbytek sek.I; objem bude upřesněn v průběhu 2016</t>
  </si>
  <si>
    <t>Udržitelnost celkem NIDV (bez Klíčů pro život, jsou v KČ)</t>
  </si>
  <si>
    <t>NSK - udržitelnost</t>
  </si>
  <si>
    <t>v rámci společného vzdělávání z RgŠ</t>
  </si>
  <si>
    <t xml:space="preserve">Udržitelnost celkem NÚV </t>
  </si>
  <si>
    <t>LPZ NENÍ možný z OPŘO</t>
  </si>
  <si>
    <t>Celkem z jiných částí rozpočtu kapitoly MŠMT</t>
  </si>
  <si>
    <t>Celkový rozpočet běžných výdajů  oblasti OPŘO na r. 2016 - vyrovnaná bilance zdrojů a potřeb</t>
  </si>
  <si>
    <t>cca 27 LPZ z KP</t>
  </si>
  <si>
    <t xml:space="preserve">Společné úkoly </t>
  </si>
  <si>
    <t>Poplatky - soudní rozhodnutí</t>
  </si>
  <si>
    <t>sek. VIII</t>
  </si>
  <si>
    <t>Cizinci celkem</t>
  </si>
  <si>
    <t>Mimořádné dotace</t>
  </si>
  <si>
    <t>NIDV čekáme na vyjádření sekce II, objem bude ještě upřesněn</t>
  </si>
  <si>
    <t xml:space="preserve">Projekty </t>
  </si>
  <si>
    <t>Projekty udržitelnosti</t>
  </si>
  <si>
    <t>Projekty resortní celkem</t>
  </si>
  <si>
    <t>PCČT</t>
  </si>
  <si>
    <t xml:space="preserve">NÚV </t>
  </si>
  <si>
    <t>DZS, v r.2015 z NA</t>
  </si>
  <si>
    <t>Společné úkoly 50 % z celoroku</t>
  </si>
  <si>
    <r>
      <t xml:space="preserve">Návrh souhrnného přehledu rozpisu rozpočtu </t>
    </r>
    <r>
      <rPr>
        <b/>
        <u val="single"/>
        <sz val="14"/>
        <rFont val="Arial CE"/>
        <family val="0"/>
      </rPr>
      <t>nákladů a výnosů OPŘO na r. 2016</t>
    </r>
    <r>
      <rPr>
        <b/>
        <sz val="14"/>
        <rFont val="Arial CE"/>
        <family val="0"/>
      </rPr>
      <t xml:space="preserve">  </t>
    </r>
    <r>
      <rPr>
        <b/>
        <sz val="14"/>
        <rFont val="Arial CE"/>
        <family val="2"/>
      </rPr>
      <t>pro jednotlivé organizace</t>
    </r>
  </si>
  <si>
    <t xml:space="preserve"> NIDV a NÚV</t>
  </si>
  <si>
    <t>Finalizace uložení, péče a ochrany knihovní fondu po přestěhování do nového sídla PK</t>
  </si>
  <si>
    <t>Tabulka č. 6</t>
  </si>
  <si>
    <t>Tabulka č. 7</t>
  </si>
  <si>
    <t>Tabulka č. 2</t>
  </si>
  <si>
    <t>Udržitelnost projektů na rok 2016</t>
  </si>
  <si>
    <r>
      <t xml:space="preserve">Návrh rozpisu rozpočtu </t>
    </r>
    <r>
      <rPr>
        <b/>
        <u val="single"/>
        <sz val="12"/>
        <rFont val="Arial CE"/>
        <family val="2"/>
      </rPr>
      <t xml:space="preserve">běžných výdajů, účelově vyčleněných prostředků, společných úkolů  </t>
    </r>
    <r>
      <rPr>
        <b/>
        <sz val="12"/>
        <rFont val="Arial CE"/>
        <family val="2"/>
      </rPr>
      <t>OPŘO na r. 2016 dle pravidel stanovených v materiálu</t>
    </r>
  </si>
  <si>
    <t>ČŠI - TIMSS PISA a jiné</t>
  </si>
  <si>
    <t xml:space="preserve"> IPs - příprava projektů OP VVV</t>
  </si>
  <si>
    <t>IPs - NÚV</t>
  </si>
  <si>
    <t>IPs - NIDV</t>
  </si>
  <si>
    <t>Evropská jazyková cena Label</t>
  </si>
  <si>
    <t>sek. II</t>
  </si>
  <si>
    <t>odpisy, náklady souvisejí se stěhováním</t>
  </si>
  <si>
    <t xml:space="preserve">Projekt Dijon, Nimes - úhrada stravování a ubytování českých žáků </t>
  </si>
  <si>
    <t>NÚV a NIDV - IPs - příprava projektů OP VVV</t>
  </si>
  <si>
    <t>DZS, v r.2015 z NA - útlum</t>
  </si>
  <si>
    <t xml:space="preserve">DZS,rozdílný názor sekce III a VI, bude řešeno </t>
  </si>
  <si>
    <t>NPMKK - provozní prostředky (odpisy)</t>
  </si>
  <si>
    <t>Pilot ZUŠ - udržitelnost</t>
  </si>
  <si>
    <t>Kurikulum G - udržitelnost</t>
  </si>
  <si>
    <t>Cesta ke kvalitě - udržitelnost</t>
  </si>
  <si>
    <t>Univ 2 Kraje - udržitelnost</t>
  </si>
  <si>
    <t>Koncept - udržitelnost</t>
  </si>
  <si>
    <t>RŠPP - udržitelnost</t>
  </si>
  <si>
    <t>CPIV - udržitelnost</t>
  </si>
  <si>
    <t>Po schválení PHÚ organizací bude upřesněn rozpis na jednotlivé položky rozpočtu.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</si>
</sst>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0.000%"/>
    <numFmt numFmtId="168" formatCode="0.00000"/>
    <numFmt numFmtId="169" formatCode="0.0000000"/>
    <numFmt numFmtId="170" formatCode="0.000000"/>
    <numFmt numFmtId="171" formatCode="#,##0.0"/>
    <numFmt numFmtId="172" formatCode="0.0%"/>
    <numFmt numFmtId="173" formatCode="#,##0.000"/>
    <numFmt numFmtId="174" formatCode="#,##0.0000"/>
    <numFmt numFmtId="175" formatCode="#,##0.\-"/>
    <numFmt numFmtId="176" formatCode="[&lt;=9999999]###\ ##\ ##;##\ ##\ ##\ ##"/>
    <numFmt numFmtId="177" formatCode="#,###"/>
    <numFmt numFmtId="178" formatCode="000,000,000"/>
    <numFmt numFmtId="179" formatCode="000\ 00"/>
    <numFmt numFmtId="180" formatCode="d/m"/>
    <numFmt numFmtId="181" formatCode="_-* #,##0.0\ _K_č_-;\-* #,##0.0\ _K_č_-;_-* &quot;-&quot;??\ _K_č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d/m/yy"/>
    <numFmt numFmtId="186" formatCode="d/m/yy\ h:mm"/>
    <numFmt numFmtId="187" formatCode="d/mmmm\ yyyy"/>
    <numFmt numFmtId="188" formatCode="#,##0.00000"/>
    <numFmt numFmtId="189" formatCode="#,##0.000000"/>
    <numFmt numFmtId="190" formatCode="dd/mm/yy"/>
    <numFmt numFmtId="191" formatCode="0_ ;[Red]\-0\ "/>
    <numFmt numFmtId="192" formatCode="#,##0_ ;[Red]\-#,##0\ "/>
    <numFmt numFmtId="193" formatCode="#,##0.000_);\-#,##0.000"/>
    <numFmt numFmtId="194" formatCode="_-* #,##0.000\ _K_č_-;\-* #,##0.000\ _K_č_-;_-* &quot;-&quot;??\ _K_č_-;_-@_-"/>
    <numFmt numFmtId="195" formatCode="_-* #,##0.0000\ _K_č_-;\-* #,##0.0000\ _K_č_-;_-* &quot;-&quot;??\ _K_č_-;_-@_-"/>
    <numFmt numFmtId="196" formatCode="_-* #,##0\ _K_č_-;\-* #,##0\ _K_č_-;_-* &quot;-&quot;??\ _K_č_-;_-@_-"/>
    <numFmt numFmtId="197" formatCode="#,##0_ ;\-#,##0\ "/>
    <numFmt numFmtId="198" formatCode="[$-405]d\.\ mmmm\ yyyy"/>
    <numFmt numFmtId="199" formatCode="_-* #,##0.0\ &quot;Kč&quot;_-;\-* #,##0.0\ &quot;Kč&quot;_-;_-* &quot;-&quot;??\ &quot;Kč&quot;_-;_-@_-"/>
    <numFmt numFmtId="200" formatCode="_-* #,##0\ &quot;Kč&quot;_-;\-* #,##0\ &quot;Kč&quot;_-;_-* &quot;-&quot;??\ &quot;Kč&quot;_-;_-@_-"/>
    <numFmt numFmtId="201" formatCode="[$€-2]\ #\ ##,000_);[Red]\([$€-2]\ #\ ##,000\)"/>
    <numFmt numFmtId="202" formatCode="#,##0.0000000"/>
    <numFmt numFmtId="203" formatCode="#,##0.00000000"/>
  </numFmts>
  <fonts count="6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0"/>
      <name val="Arial CE"/>
      <family val="0"/>
    </font>
    <font>
      <b/>
      <sz val="11"/>
      <name val="Arial CE"/>
      <family val="2"/>
    </font>
    <font>
      <sz val="10"/>
      <name val="Arial"/>
      <family val="2"/>
    </font>
    <font>
      <sz val="14"/>
      <name val="Arial CE"/>
      <family val="2"/>
    </font>
    <font>
      <sz val="11"/>
      <name val="Arial CE"/>
      <family val="0"/>
    </font>
    <font>
      <b/>
      <u val="single"/>
      <sz val="14"/>
      <name val="Arial CE"/>
      <family val="0"/>
    </font>
    <font>
      <sz val="8"/>
      <name val="Arial CE"/>
      <family val="0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 CE"/>
      <family val="2"/>
    </font>
    <font>
      <sz val="10"/>
      <color indexed="8"/>
      <name val="Arial CE"/>
      <family val="0"/>
    </font>
    <font>
      <b/>
      <sz val="12"/>
      <color indexed="8"/>
      <name val="Arial CE"/>
      <family val="0"/>
    </font>
    <font>
      <sz val="10"/>
      <color indexed="8"/>
      <name val="Arial"/>
      <family val="2"/>
    </font>
    <font>
      <b/>
      <sz val="16"/>
      <color indexed="8"/>
      <name val="Arial CE"/>
      <family val="2"/>
    </font>
    <font>
      <b/>
      <sz val="10"/>
      <color indexed="8"/>
      <name val="Arial CE"/>
      <family val="2"/>
    </font>
    <font>
      <b/>
      <u val="single"/>
      <sz val="12"/>
      <name val="Arial CE"/>
      <family val="2"/>
    </font>
    <font>
      <i/>
      <sz val="10"/>
      <name val="Arial"/>
      <family val="2"/>
    </font>
    <font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0"/>
      <name val="Arial CE"/>
      <family val="0"/>
    </font>
    <font>
      <sz val="11"/>
      <name val="Calibri"/>
      <family val="2"/>
    </font>
    <font>
      <sz val="12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i/>
      <sz val="10"/>
      <color rgb="FFFF0000"/>
      <name val="Arial CE"/>
      <family val="0"/>
    </font>
    <font>
      <sz val="12"/>
      <color theme="1"/>
      <name val="Arial CE"/>
      <family val="2"/>
    </font>
    <font>
      <b/>
      <sz val="8"/>
      <name val="Arial CE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double"/>
      <bottom style="thick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double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thick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/>
      <top style="thin"/>
      <bottom style="thick"/>
    </border>
    <border>
      <left style="medium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double"/>
      <bottom style="thick"/>
    </border>
    <border>
      <left>
        <color indexed="63"/>
      </left>
      <right style="medium"/>
      <top style="thin"/>
      <bottom style="double"/>
    </border>
    <border>
      <left style="double"/>
      <right style="medium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double"/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789">
    <xf numFmtId="0" fontId="0" fillId="0" borderId="0" xfId="0" applyAlignment="1">
      <alignment/>
    </xf>
    <xf numFmtId="1" fontId="0" fillId="0" borderId="10" xfId="60" applyNumberFormat="1" applyBorder="1">
      <alignment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0" fontId="0" fillId="0" borderId="11" xfId="60" applyBorder="1" applyAlignment="1">
      <alignment horizontal="right"/>
      <protection/>
    </xf>
    <xf numFmtId="0" fontId="0" fillId="0" borderId="12" xfId="60" applyBorder="1">
      <alignment/>
      <protection/>
    </xf>
    <xf numFmtId="0" fontId="0" fillId="0" borderId="13" xfId="60" applyBorder="1">
      <alignment/>
      <protection/>
    </xf>
    <xf numFmtId="0" fontId="0" fillId="0" borderId="14" xfId="60" applyBorder="1">
      <alignment/>
      <protection/>
    </xf>
    <xf numFmtId="0" fontId="0" fillId="0" borderId="15" xfId="60" applyBorder="1">
      <alignment/>
      <protection/>
    </xf>
    <xf numFmtId="0" fontId="0" fillId="0" borderId="16" xfId="60" applyBorder="1">
      <alignment/>
      <protection/>
    </xf>
    <xf numFmtId="0" fontId="0" fillId="0" borderId="10" xfId="60" applyBorder="1">
      <alignment/>
      <protection/>
    </xf>
    <xf numFmtId="0" fontId="0" fillId="0" borderId="10" xfId="60" applyFont="1" applyBorder="1">
      <alignment/>
      <protection/>
    </xf>
    <xf numFmtId="0" fontId="0" fillId="0" borderId="10" xfId="60" applyFont="1" applyBorder="1" applyAlignment="1">
      <alignment horizontal="center"/>
      <protection/>
    </xf>
    <xf numFmtId="0" fontId="0" fillId="0" borderId="17" xfId="60" applyBorder="1">
      <alignment/>
      <protection/>
    </xf>
    <xf numFmtId="0" fontId="0" fillId="0" borderId="18" xfId="60" applyFont="1" applyBorder="1" applyAlignment="1">
      <alignment horizontal="center"/>
      <protection/>
    </xf>
    <xf numFmtId="0" fontId="1" fillId="0" borderId="0" xfId="60" applyFont="1" applyAlignment="1">
      <alignment horizontal="right"/>
      <protection/>
    </xf>
    <xf numFmtId="0" fontId="1" fillId="0" borderId="19" xfId="60" applyFont="1" applyBorder="1">
      <alignment/>
      <protection/>
    </xf>
    <xf numFmtId="0" fontId="0" fillId="0" borderId="12" xfId="60" applyFont="1" applyBorder="1" applyAlignment="1">
      <alignment horizontal="center"/>
      <protection/>
    </xf>
    <xf numFmtId="0" fontId="0" fillId="0" borderId="20" xfId="60" applyFont="1" applyBorder="1">
      <alignment/>
      <protection/>
    </xf>
    <xf numFmtId="0" fontId="0" fillId="0" borderId="21" xfId="60" applyFont="1" applyFill="1" applyBorder="1">
      <alignment/>
      <protection/>
    </xf>
    <xf numFmtId="1" fontId="0" fillId="0" borderId="10" xfId="60" applyNumberFormat="1" applyFill="1" applyBorder="1">
      <alignment/>
      <protection/>
    </xf>
    <xf numFmtId="1" fontId="1" fillId="0" borderId="10" xfId="60" applyNumberFormat="1" applyFont="1" applyBorder="1">
      <alignment/>
      <protection/>
    </xf>
    <xf numFmtId="1" fontId="0" fillId="0" borderId="16" xfId="60" applyNumberFormat="1" applyBorder="1">
      <alignment/>
      <protection/>
    </xf>
    <xf numFmtId="0" fontId="0" fillId="0" borderId="0" xfId="60" applyFont="1" applyAlignment="1">
      <alignment horizontal="right"/>
      <protection/>
    </xf>
    <xf numFmtId="0" fontId="0" fillId="0" borderId="22" xfId="60" applyBorder="1">
      <alignment/>
      <protection/>
    </xf>
    <xf numFmtId="0" fontId="0" fillId="0" borderId="19" xfId="60" applyFont="1" applyBorder="1">
      <alignment/>
      <protection/>
    </xf>
    <xf numFmtId="0" fontId="0" fillId="0" borderId="23" xfId="60" applyFont="1" applyBorder="1">
      <alignment/>
      <protection/>
    </xf>
    <xf numFmtId="0" fontId="2" fillId="0" borderId="0" xfId="60" applyFont="1" applyAlignment="1">
      <alignment horizontal="center"/>
      <protection/>
    </xf>
    <xf numFmtId="0" fontId="0" fillId="0" borderId="24" xfId="60" applyFont="1" applyBorder="1">
      <alignment/>
      <protection/>
    </xf>
    <xf numFmtId="0" fontId="0" fillId="0" borderId="0" xfId="60" applyBorder="1" applyAlignment="1">
      <alignment horizontal="left"/>
      <protection/>
    </xf>
    <xf numFmtId="0" fontId="0" fillId="0" borderId="25" xfId="60" applyFont="1" applyBorder="1" applyAlignment="1">
      <alignment horizontal="center"/>
      <protection/>
    </xf>
    <xf numFmtId="1" fontId="0" fillId="0" borderId="16" xfId="65" applyNumberFormat="1" applyFill="1" applyBorder="1">
      <alignment/>
      <protection/>
    </xf>
    <xf numFmtId="0" fontId="0" fillId="0" borderId="26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1" fillId="0" borderId="28" xfId="60" applyFont="1" applyBorder="1" applyAlignment="1">
      <alignment horizontal="center" vertical="center" textRotation="90" wrapText="1"/>
      <protection/>
    </xf>
    <xf numFmtId="0" fontId="0" fillId="0" borderId="29" xfId="60" applyBorder="1">
      <alignment/>
      <protection/>
    </xf>
    <xf numFmtId="0" fontId="0" fillId="0" borderId="30" xfId="60" applyFont="1" applyBorder="1">
      <alignment/>
      <protection/>
    </xf>
    <xf numFmtId="0" fontId="0" fillId="0" borderId="31" xfId="60" applyBorder="1">
      <alignment/>
      <protection/>
    </xf>
    <xf numFmtId="0" fontId="0" fillId="0" borderId="30" xfId="60" applyBorder="1">
      <alignment/>
      <protection/>
    </xf>
    <xf numFmtId="0" fontId="0" fillId="0" borderId="31" xfId="60" applyBorder="1" applyAlignment="1">
      <alignment horizontal="left"/>
      <protection/>
    </xf>
    <xf numFmtId="0" fontId="0" fillId="0" borderId="31" xfId="60" applyFont="1" applyBorder="1">
      <alignment/>
      <protection/>
    </xf>
    <xf numFmtId="0" fontId="0" fillId="0" borderId="29" xfId="60" applyFont="1" applyBorder="1">
      <alignment/>
      <protection/>
    </xf>
    <xf numFmtId="0" fontId="0" fillId="0" borderId="32" xfId="60" applyFont="1" applyBorder="1">
      <alignment/>
      <protection/>
    </xf>
    <xf numFmtId="0" fontId="0" fillId="0" borderId="33" xfId="60" applyFont="1" applyBorder="1" applyAlignment="1">
      <alignment/>
      <protection/>
    </xf>
    <xf numFmtId="0" fontId="0" fillId="0" borderId="34" xfId="60" applyFont="1" applyBorder="1" applyAlignment="1">
      <alignment horizontal="center"/>
      <protection/>
    </xf>
    <xf numFmtId="0" fontId="1" fillId="0" borderId="15" xfId="0" applyFont="1" applyBorder="1" applyAlignment="1">
      <alignment/>
    </xf>
    <xf numFmtId="3" fontId="1" fillId="0" borderId="35" xfId="60" applyNumberFormat="1" applyFont="1" applyBorder="1">
      <alignment/>
      <protection/>
    </xf>
    <xf numFmtId="3" fontId="1" fillId="0" borderId="36" xfId="60" applyNumberFormat="1" applyFont="1" applyBorder="1">
      <alignment/>
      <protection/>
    </xf>
    <xf numFmtId="3" fontId="1" fillId="0" borderId="37" xfId="60" applyNumberFormat="1" applyFont="1" applyBorder="1">
      <alignment/>
      <protection/>
    </xf>
    <xf numFmtId="0" fontId="0" fillId="0" borderId="38" xfId="60" applyFont="1" applyBorder="1" applyAlignment="1">
      <alignment horizontal="center" vertical="center" textRotation="90"/>
      <protection/>
    </xf>
    <xf numFmtId="3" fontId="1" fillId="0" borderId="39" xfId="60" applyNumberFormat="1" applyFont="1" applyBorder="1">
      <alignment/>
      <protection/>
    </xf>
    <xf numFmtId="0" fontId="0" fillId="0" borderId="40" xfId="60" applyFont="1" applyBorder="1">
      <alignment/>
      <protection/>
    </xf>
    <xf numFmtId="0" fontId="0" fillId="0" borderId="41" xfId="60" applyBorder="1">
      <alignment/>
      <protection/>
    </xf>
    <xf numFmtId="4" fontId="1" fillId="0" borderId="42" xfId="60" applyNumberFormat="1" applyFont="1" applyBorder="1">
      <alignment/>
      <protection/>
    </xf>
    <xf numFmtId="0" fontId="0" fillId="0" borderId="40" xfId="60" applyFont="1" applyBorder="1" applyAlignment="1">
      <alignment/>
      <protection/>
    </xf>
    <xf numFmtId="3" fontId="1" fillId="0" borderId="42" xfId="60" applyNumberFormat="1" applyFont="1" applyBorder="1">
      <alignment/>
      <protection/>
    </xf>
    <xf numFmtId="0" fontId="3" fillId="0" borderId="0" xfId="60" applyFont="1" applyAlignment="1">
      <alignment horizontal="right"/>
      <protection/>
    </xf>
    <xf numFmtId="4" fontId="0" fillId="0" borderId="43" xfId="60" applyNumberFormat="1" applyFill="1" applyBorder="1">
      <alignment/>
      <protection/>
    </xf>
    <xf numFmtId="0" fontId="2" fillId="0" borderId="0" xfId="0" applyFont="1" applyAlignment="1">
      <alignment/>
    </xf>
    <xf numFmtId="0" fontId="9" fillId="0" borderId="19" xfId="60" applyFont="1" applyFill="1" applyBorder="1">
      <alignment/>
      <protection/>
    </xf>
    <xf numFmtId="0" fontId="9" fillId="0" borderId="15" xfId="60" applyFont="1" applyBorder="1">
      <alignment/>
      <protection/>
    </xf>
    <xf numFmtId="0" fontId="0" fillId="0" borderId="0" xfId="60" applyFill="1">
      <alignment/>
      <protection/>
    </xf>
    <xf numFmtId="0" fontId="0" fillId="0" borderId="15" xfId="60" applyFont="1" applyFill="1" applyBorder="1">
      <alignment/>
      <protection/>
    </xf>
    <xf numFmtId="0" fontId="9" fillId="0" borderId="44" xfId="60" applyFont="1" applyBorder="1">
      <alignment/>
      <protection/>
    </xf>
    <xf numFmtId="1" fontId="1" fillId="0" borderId="10" xfId="60" applyNumberFormat="1" applyFont="1" applyBorder="1" applyAlignment="1">
      <alignment horizontal="right"/>
      <protection/>
    </xf>
    <xf numFmtId="0" fontId="12" fillId="0" borderId="15" xfId="60" applyFont="1" applyBorder="1">
      <alignment/>
      <protection/>
    </xf>
    <xf numFmtId="1" fontId="0" fillId="0" borderId="16" xfId="60" applyNumberFormat="1" applyBorder="1" applyAlignment="1">
      <alignment horizontal="right"/>
      <protection/>
    </xf>
    <xf numFmtId="1" fontId="0" fillId="0" borderId="0" xfId="0" applyNumberFormat="1" applyAlignment="1">
      <alignment/>
    </xf>
    <xf numFmtId="0" fontId="0" fillId="0" borderId="45" xfId="60" applyBorder="1">
      <alignment/>
      <protection/>
    </xf>
    <xf numFmtId="0" fontId="0" fillId="0" borderId="46" xfId="60" applyBorder="1">
      <alignment/>
      <protection/>
    </xf>
    <xf numFmtId="4" fontId="1" fillId="0" borderId="37" xfId="60" applyNumberFormat="1" applyFont="1" applyBorder="1">
      <alignment/>
      <protection/>
    </xf>
    <xf numFmtId="4" fontId="0" fillId="0" borderId="47" xfId="60" applyNumberFormat="1" applyBorder="1">
      <alignment/>
      <protection/>
    </xf>
    <xf numFmtId="4" fontId="0" fillId="0" borderId="47" xfId="60" applyNumberFormat="1" applyFill="1" applyBorder="1">
      <alignment/>
      <protection/>
    </xf>
    <xf numFmtId="0" fontId="0" fillId="0" borderId="48" xfId="60" applyBorder="1">
      <alignment/>
      <protection/>
    </xf>
    <xf numFmtId="0" fontId="0" fillId="0" borderId="49" xfId="60" applyBorder="1">
      <alignment/>
      <protection/>
    </xf>
    <xf numFmtId="0" fontId="0" fillId="0" borderId="50" xfId="60" applyFont="1" applyBorder="1">
      <alignment/>
      <protection/>
    </xf>
    <xf numFmtId="0" fontId="0" fillId="0" borderId="26" xfId="0" applyFill="1" applyBorder="1" applyAlignment="1">
      <alignment horizontal="center" vertical="center" textRotation="90" wrapText="1"/>
    </xf>
    <xf numFmtId="0" fontId="0" fillId="0" borderId="27" xfId="0" applyFill="1" applyBorder="1" applyAlignment="1">
      <alignment horizontal="center" vertical="center" textRotation="90" wrapText="1"/>
    </xf>
    <xf numFmtId="0" fontId="0" fillId="0" borderId="18" xfId="60" applyFont="1" applyBorder="1" applyAlignment="1">
      <alignment horizontal="center"/>
      <protection/>
    </xf>
    <xf numFmtId="0" fontId="0" fillId="0" borderId="51" xfId="60" applyBorder="1">
      <alignment/>
      <protection/>
    </xf>
    <xf numFmtId="0" fontId="0" fillId="0" borderId="0" xfId="61">
      <alignment/>
      <protection/>
    </xf>
    <xf numFmtId="0" fontId="0" fillId="0" borderId="18" xfId="61" applyFont="1" applyBorder="1" applyAlignment="1">
      <alignment horizontal="center"/>
      <protection/>
    </xf>
    <xf numFmtId="0" fontId="0" fillId="0" borderId="0" xfId="61" applyFont="1">
      <alignment/>
      <protection/>
    </xf>
    <xf numFmtId="3" fontId="0" fillId="0" borderId="52" xfId="60" applyNumberFormat="1" applyFill="1" applyBorder="1">
      <alignment/>
      <protection/>
    </xf>
    <xf numFmtId="0" fontId="0" fillId="0" borderId="0" xfId="60" applyFont="1">
      <alignment/>
      <protection/>
    </xf>
    <xf numFmtId="2" fontId="0" fillId="0" borderId="53" xfId="60" applyNumberFormat="1" applyBorder="1">
      <alignment/>
      <protection/>
    </xf>
    <xf numFmtId="164" fontId="0" fillId="0" borderId="54" xfId="60" applyNumberFormat="1" applyFill="1" applyBorder="1">
      <alignment/>
      <protection/>
    </xf>
    <xf numFmtId="0" fontId="0" fillId="0" borderId="55" xfId="60" applyBorder="1">
      <alignment/>
      <protection/>
    </xf>
    <xf numFmtId="0" fontId="0" fillId="0" borderId="56" xfId="60" applyBorder="1">
      <alignment/>
      <protection/>
    </xf>
    <xf numFmtId="0" fontId="0" fillId="0" borderId="57" xfId="60" applyFont="1" applyBorder="1" applyAlignment="1">
      <alignment horizontal="center"/>
      <protection/>
    </xf>
    <xf numFmtId="0" fontId="0" fillId="0" borderId="56" xfId="60" applyFont="1" applyBorder="1" applyAlignment="1">
      <alignment horizontal="center"/>
      <protection/>
    </xf>
    <xf numFmtId="2" fontId="0" fillId="0" borderId="56" xfId="60" applyNumberFormat="1" applyBorder="1">
      <alignment/>
      <protection/>
    </xf>
    <xf numFmtId="0" fontId="0" fillId="0" borderId="23" xfId="60" applyFont="1" applyFill="1" applyBorder="1">
      <alignment/>
      <protection/>
    </xf>
    <xf numFmtId="0" fontId="1" fillId="0" borderId="19" xfId="0" applyFont="1" applyBorder="1" applyAlignment="1">
      <alignment/>
    </xf>
    <xf numFmtId="0" fontId="2" fillId="0" borderId="0" xfId="61" applyFont="1" applyAlignment="1">
      <alignment horizontal="center"/>
      <protection/>
    </xf>
    <xf numFmtId="0" fontId="4" fillId="0" borderId="0" xfId="61" applyFont="1">
      <alignment/>
      <protection/>
    </xf>
    <xf numFmtId="0" fontId="3" fillId="0" borderId="0" xfId="61" applyFont="1">
      <alignment/>
      <protection/>
    </xf>
    <xf numFmtId="0" fontId="0" fillId="0" borderId="11" xfId="61" applyFont="1" applyBorder="1" applyAlignment="1">
      <alignment horizontal="right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Border="1" applyAlignment="1">
      <alignment horizontal="center"/>
      <protection/>
    </xf>
    <xf numFmtId="0" fontId="0" fillId="0" borderId="14" xfId="61" applyFont="1" applyBorder="1" applyAlignment="1">
      <alignment horizontal="center"/>
      <protection/>
    </xf>
    <xf numFmtId="0" fontId="0" fillId="0" borderId="55" xfId="61" applyFont="1" applyBorder="1" applyAlignment="1">
      <alignment horizontal="center"/>
      <protection/>
    </xf>
    <xf numFmtId="0" fontId="0" fillId="0" borderId="15" xfId="61" applyFont="1" applyBorder="1">
      <alignment/>
      <protection/>
    </xf>
    <xf numFmtId="0" fontId="0" fillId="0" borderId="16" xfId="61" applyFont="1" applyBorder="1" applyAlignment="1">
      <alignment horizontal="center"/>
      <protection/>
    </xf>
    <xf numFmtId="0" fontId="0" fillId="0" borderId="10" xfId="61" applyFont="1" applyBorder="1" applyAlignment="1">
      <alignment horizontal="center"/>
      <protection/>
    </xf>
    <xf numFmtId="0" fontId="0" fillId="0" borderId="30" xfId="61" applyFont="1" applyBorder="1" applyAlignment="1">
      <alignment horizontal="center"/>
      <protection/>
    </xf>
    <xf numFmtId="0" fontId="0" fillId="0" borderId="58" xfId="61" applyFont="1" applyBorder="1" applyAlignment="1">
      <alignment horizontal="center"/>
      <protection/>
    </xf>
    <xf numFmtId="0" fontId="0" fillId="0" borderId="56" xfId="61" applyFont="1" applyBorder="1" applyAlignment="1">
      <alignment horizontal="center"/>
      <protection/>
    </xf>
    <xf numFmtId="0" fontId="0" fillId="0" borderId="59" xfId="61" applyFont="1" applyBorder="1" applyAlignment="1">
      <alignment horizontal="center"/>
      <protection/>
    </xf>
    <xf numFmtId="0" fontId="0" fillId="0" borderId="17" xfId="61" applyFont="1" applyBorder="1">
      <alignment/>
      <protection/>
    </xf>
    <xf numFmtId="0" fontId="0" fillId="0" borderId="57" xfId="61" applyFont="1" applyBorder="1" applyAlignment="1">
      <alignment horizontal="center"/>
      <protection/>
    </xf>
    <xf numFmtId="0" fontId="0" fillId="0" borderId="60" xfId="61" applyFont="1" applyBorder="1" applyAlignment="1">
      <alignment horizontal="center"/>
      <protection/>
    </xf>
    <xf numFmtId="0" fontId="1" fillId="0" borderId="0" xfId="61" applyFont="1" applyAlignment="1">
      <alignment horizontal="right"/>
      <protection/>
    </xf>
    <xf numFmtId="0" fontId="1" fillId="0" borderId="19" xfId="61" applyFont="1" applyBorder="1">
      <alignment/>
      <protection/>
    </xf>
    <xf numFmtId="1" fontId="0" fillId="0" borderId="61" xfId="61" applyNumberFormat="1" applyFont="1" applyBorder="1">
      <alignment/>
      <protection/>
    </xf>
    <xf numFmtId="0" fontId="0" fillId="0" borderId="21" xfId="61" applyFont="1" applyBorder="1">
      <alignment/>
      <protection/>
    </xf>
    <xf numFmtId="0" fontId="0" fillId="0" borderId="62" xfId="61" applyFont="1" applyBorder="1">
      <alignment/>
      <protection/>
    </xf>
    <xf numFmtId="0" fontId="48" fillId="0" borderId="21" xfId="61" applyFont="1" applyFill="1" applyBorder="1">
      <alignment/>
      <protection/>
    </xf>
    <xf numFmtId="0" fontId="0" fillId="33" borderId="0" xfId="61" applyFont="1" applyFill="1">
      <alignment/>
      <protection/>
    </xf>
    <xf numFmtId="0" fontId="5" fillId="34" borderId="21" xfId="61" applyFont="1" applyFill="1" applyBorder="1">
      <alignment/>
      <protection/>
    </xf>
    <xf numFmtId="3" fontId="0" fillId="0" borderId="16" xfId="61" applyNumberFormat="1" applyFont="1" applyBorder="1" applyAlignment="1">
      <alignment horizontal="center"/>
      <protection/>
    </xf>
    <xf numFmtId="3" fontId="0" fillId="0" borderId="10" xfId="61" applyNumberFormat="1" applyFont="1" applyBorder="1" applyAlignment="1">
      <alignment horizontal="center"/>
      <protection/>
    </xf>
    <xf numFmtId="3" fontId="0" fillId="0" borderId="63" xfId="61" applyNumberFormat="1" applyFont="1" applyBorder="1">
      <alignment/>
      <protection/>
    </xf>
    <xf numFmtId="0" fontId="1" fillId="0" borderId="64" xfId="61" applyFont="1" applyBorder="1">
      <alignment/>
      <protection/>
    </xf>
    <xf numFmtId="0" fontId="18" fillId="0" borderId="0" xfId="61" applyFont="1">
      <alignment/>
      <protection/>
    </xf>
    <xf numFmtId="0" fontId="19" fillId="0" borderId="0" xfId="61" applyFont="1" applyAlignment="1">
      <alignment horizontal="right"/>
      <protection/>
    </xf>
    <xf numFmtId="0" fontId="21" fillId="0" borderId="0" xfId="61" applyFont="1">
      <alignment/>
      <protection/>
    </xf>
    <xf numFmtId="0" fontId="22" fillId="0" borderId="0" xfId="61" applyFont="1" applyAlignment="1">
      <alignment horizontal="right"/>
      <protection/>
    </xf>
    <xf numFmtId="0" fontId="17" fillId="0" borderId="0" xfId="61" applyFont="1" applyAlignment="1">
      <alignment horizontal="right"/>
      <protection/>
    </xf>
    <xf numFmtId="1" fontId="15" fillId="0" borderId="52" xfId="61" applyNumberFormat="1" applyFont="1" applyBorder="1">
      <alignment/>
      <protection/>
    </xf>
    <xf numFmtId="0" fontId="15" fillId="0" borderId="0" xfId="61" applyFont="1">
      <alignment/>
      <protection/>
    </xf>
    <xf numFmtId="1" fontId="15" fillId="0" borderId="10" xfId="61" applyNumberFormat="1" applyFont="1" applyBorder="1">
      <alignment/>
      <protection/>
    </xf>
    <xf numFmtId="1" fontId="18" fillId="0" borderId="10" xfId="61" applyNumberFormat="1" applyFont="1" applyBorder="1">
      <alignment/>
      <protection/>
    </xf>
    <xf numFmtId="1" fontId="15" fillId="0" borderId="58" xfId="61" applyNumberFormat="1" applyFont="1" applyBorder="1">
      <alignment/>
      <protection/>
    </xf>
    <xf numFmtId="3" fontId="0" fillId="0" borderId="36" xfId="61" applyNumberFormat="1" applyFont="1" applyFill="1" applyBorder="1">
      <alignment/>
      <protection/>
    </xf>
    <xf numFmtId="1" fontId="15" fillId="0" borderId="0" xfId="61" applyNumberFormat="1" applyFont="1" applyBorder="1">
      <alignment/>
      <protection/>
    </xf>
    <xf numFmtId="0" fontId="18" fillId="33" borderId="0" xfId="61" applyFont="1" applyFill="1">
      <alignment/>
      <protection/>
    </xf>
    <xf numFmtId="0" fontId="1" fillId="35" borderId="65" xfId="60" applyFont="1" applyFill="1" applyBorder="1">
      <alignment/>
      <protection/>
    </xf>
    <xf numFmtId="0" fontId="50" fillId="0" borderId="66" xfId="61" applyFont="1" applyBorder="1">
      <alignment/>
      <protection/>
    </xf>
    <xf numFmtId="2" fontId="1" fillId="0" borderId="56" xfId="60" applyNumberFormat="1" applyFont="1" applyBorder="1" applyAlignment="1">
      <alignment horizontal="right"/>
      <protection/>
    </xf>
    <xf numFmtId="2" fontId="0" fillId="0" borderId="53" xfId="60" applyNumberFormat="1" applyFill="1" applyBorder="1">
      <alignment/>
      <protection/>
    </xf>
    <xf numFmtId="2" fontId="0" fillId="0" borderId="56" xfId="60" applyNumberFormat="1" applyFill="1" applyBorder="1">
      <alignment/>
      <protection/>
    </xf>
    <xf numFmtId="2" fontId="1" fillId="0" borderId="67" xfId="60" applyNumberFormat="1" applyFont="1" applyFill="1" applyBorder="1" applyAlignment="1">
      <alignment horizontal="right"/>
      <protection/>
    </xf>
    <xf numFmtId="0" fontId="0" fillId="0" borderId="11" xfId="60" applyBorder="1">
      <alignment/>
      <protection/>
    </xf>
    <xf numFmtId="3" fontId="0" fillId="0" borderId="36" xfId="61" applyNumberFormat="1" applyFont="1" applyBorder="1">
      <alignment/>
      <protection/>
    </xf>
    <xf numFmtId="0" fontId="0" fillId="0" borderId="68" xfId="60" applyBorder="1" applyAlignment="1">
      <alignment horizontal="right"/>
      <protection/>
    </xf>
    <xf numFmtId="0" fontId="0" fillId="0" borderId="19" xfId="60" applyBorder="1">
      <alignment/>
      <protection/>
    </xf>
    <xf numFmtId="0" fontId="0" fillId="0" borderId="69" xfId="60" applyBorder="1">
      <alignment/>
      <protection/>
    </xf>
    <xf numFmtId="0" fontId="9" fillId="0" borderId="19" xfId="60" applyFont="1" applyBorder="1">
      <alignment/>
      <protection/>
    </xf>
    <xf numFmtId="0" fontId="1" fillId="0" borderId="23" xfId="60" applyFont="1" applyFill="1" applyBorder="1">
      <alignment/>
      <protection/>
    </xf>
    <xf numFmtId="0" fontId="1" fillId="0" borderId="70" xfId="60" applyFont="1" applyFill="1" applyBorder="1">
      <alignment/>
      <protection/>
    </xf>
    <xf numFmtId="0" fontId="0" fillId="0" borderId="20" xfId="60" applyFont="1" applyFill="1" applyBorder="1" applyAlignment="1">
      <alignment wrapText="1"/>
      <protection/>
    </xf>
    <xf numFmtId="0" fontId="0" fillId="0" borderId="20" xfId="0" applyFill="1" applyBorder="1" applyAlignment="1">
      <alignment/>
    </xf>
    <xf numFmtId="0" fontId="0" fillId="0" borderId="71" xfId="60" applyBorder="1">
      <alignment/>
      <protection/>
    </xf>
    <xf numFmtId="0" fontId="0" fillId="0" borderId="72" xfId="60" applyBorder="1">
      <alignment/>
      <protection/>
    </xf>
    <xf numFmtId="0" fontId="0" fillId="0" borderId="17" xfId="60" applyFont="1" applyBorder="1" applyAlignment="1">
      <alignment horizontal="center"/>
      <protection/>
    </xf>
    <xf numFmtId="0" fontId="0" fillId="0" borderId="11" xfId="60" applyFont="1" applyBorder="1" applyAlignment="1">
      <alignment horizontal="center"/>
      <protection/>
    </xf>
    <xf numFmtId="0" fontId="0" fillId="0" borderId="72" xfId="60" applyFont="1" applyBorder="1" applyAlignment="1">
      <alignment horizontal="center"/>
      <protection/>
    </xf>
    <xf numFmtId="2" fontId="0" fillId="0" borderId="73" xfId="60" applyNumberFormat="1" applyBorder="1">
      <alignment/>
      <protection/>
    </xf>
    <xf numFmtId="2" fontId="0" fillId="0" borderId="72" xfId="60" applyNumberFormat="1" applyBorder="1">
      <alignment/>
      <protection/>
    </xf>
    <xf numFmtId="2" fontId="0" fillId="0" borderId="74" xfId="60" applyNumberFormat="1" applyFill="1" applyBorder="1">
      <alignment/>
      <protection/>
    </xf>
    <xf numFmtId="2" fontId="1" fillId="0" borderId="73" xfId="60" applyNumberFormat="1" applyFont="1" applyBorder="1">
      <alignment/>
      <protection/>
    </xf>
    <xf numFmtId="2" fontId="0" fillId="0" borderId="75" xfId="60" applyNumberFormat="1" applyBorder="1">
      <alignment/>
      <protection/>
    </xf>
    <xf numFmtId="2" fontId="1" fillId="0" borderId="72" xfId="60" applyNumberFormat="1" applyFont="1" applyBorder="1">
      <alignment/>
      <protection/>
    </xf>
    <xf numFmtId="2" fontId="1" fillId="0" borderId="76" xfId="60" applyNumberFormat="1" applyFont="1" applyFill="1" applyBorder="1">
      <alignment/>
      <protection/>
    </xf>
    <xf numFmtId="3" fontId="0" fillId="0" borderId="58" xfId="61" applyNumberFormat="1" applyFill="1" applyBorder="1">
      <alignment/>
      <protection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63" xfId="0" applyNumberFormat="1" applyBorder="1" applyAlignment="1">
      <alignment/>
    </xf>
    <xf numFmtId="3" fontId="0" fillId="0" borderId="52" xfId="61" applyNumberFormat="1" applyFill="1" applyBorder="1">
      <alignment/>
      <protection/>
    </xf>
    <xf numFmtId="3" fontId="0" fillId="0" borderId="10" xfId="60" applyNumberFormat="1" applyBorder="1">
      <alignment/>
      <protection/>
    </xf>
    <xf numFmtId="3" fontId="0" fillId="0" borderId="58" xfId="60" applyNumberFormat="1" applyFill="1" applyBorder="1">
      <alignment/>
      <protection/>
    </xf>
    <xf numFmtId="3" fontId="0" fillId="0" borderId="77" xfId="0" applyNumberFormat="1" applyBorder="1" applyAlignment="1">
      <alignment/>
    </xf>
    <xf numFmtId="3" fontId="0" fillId="0" borderId="52" xfId="60" applyNumberFormat="1" applyBorder="1">
      <alignment/>
      <protection/>
    </xf>
    <xf numFmtId="3" fontId="0" fillId="0" borderId="58" xfId="60" applyNumberFormat="1" applyFont="1" applyFill="1" applyBorder="1">
      <alignment/>
      <protection/>
    </xf>
    <xf numFmtId="3" fontId="0" fillId="0" borderId="10" xfId="60" applyNumberFormat="1" applyFont="1" applyFill="1" applyBorder="1">
      <alignment/>
      <protection/>
    </xf>
    <xf numFmtId="3" fontId="0" fillId="0" borderId="16" xfId="65" applyNumberFormat="1" applyFill="1" applyBorder="1">
      <alignment/>
      <protection/>
    </xf>
    <xf numFmtId="3" fontId="0" fillId="0" borderId="21" xfId="60" applyNumberFormat="1" applyFont="1" applyFill="1" applyBorder="1">
      <alignment/>
      <protection/>
    </xf>
    <xf numFmtId="3" fontId="0" fillId="0" borderId="52" xfId="60" applyNumberFormat="1" applyFont="1" applyFill="1" applyBorder="1">
      <alignment/>
      <protection/>
    </xf>
    <xf numFmtId="3" fontId="0" fillId="0" borderId="77" xfId="65" applyNumberFormat="1" applyFill="1" applyBorder="1">
      <alignment/>
      <protection/>
    </xf>
    <xf numFmtId="0" fontId="0" fillId="0" borderId="0" xfId="61" applyFont="1">
      <alignment/>
      <protection/>
    </xf>
    <xf numFmtId="3" fontId="0" fillId="0" borderId="52" xfId="61" applyNumberFormat="1" applyBorder="1">
      <alignment/>
      <protection/>
    </xf>
    <xf numFmtId="3" fontId="0" fillId="0" borderId="58" xfId="61" applyNumberFormat="1" applyBorder="1">
      <alignment/>
      <protection/>
    </xf>
    <xf numFmtId="0" fontId="1" fillId="0" borderId="0" xfId="0" applyFont="1" applyAlignment="1">
      <alignment/>
    </xf>
    <xf numFmtId="3" fontId="0" fillId="0" borderId="10" xfId="60" applyNumberFormat="1" applyFont="1" applyBorder="1" applyAlignment="1">
      <alignment horizontal="center"/>
      <protection/>
    </xf>
    <xf numFmtId="3" fontId="0" fillId="0" borderId="16" xfId="60" applyNumberFormat="1" applyFont="1" applyBorder="1" applyAlignment="1">
      <alignment horizontal="center"/>
      <protection/>
    </xf>
    <xf numFmtId="3" fontId="0" fillId="0" borderId="15" xfId="60" applyNumberFormat="1" applyFont="1" applyBorder="1" applyAlignment="1">
      <alignment horizontal="right"/>
      <protection/>
    </xf>
    <xf numFmtId="3" fontId="0" fillId="0" borderId="10" xfId="60" applyNumberFormat="1" applyFont="1" applyBorder="1" applyAlignment="1">
      <alignment horizontal="right"/>
      <protection/>
    </xf>
    <xf numFmtId="3" fontId="0" fillId="0" borderId="10" xfId="60" applyNumberFormat="1" applyFont="1" applyFill="1" applyBorder="1" applyAlignment="1">
      <alignment horizontal="right"/>
      <protection/>
    </xf>
    <xf numFmtId="3" fontId="0" fillId="0" borderId="65" xfId="60" applyNumberFormat="1" applyBorder="1">
      <alignment/>
      <protection/>
    </xf>
    <xf numFmtId="3" fontId="0" fillId="0" borderId="78" xfId="60" applyNumberFormat="1" applyBorder="1">
      <alignment/>
      <protection/>
    </xf>
    <xf numFmtId="3" fontId="0" fillId="0" borderId="47" xfId="65" applyNumberFormat="1" applyBorder="1">
      <alignment/>
      <protection/>
    </xf>
    <xf numFmtId="3" fontId="0" fillId="0" borderId="15" xfId="60" applyNumberFormat="1" applyBorder="1">
      <alignment/>
      <protection/>
    </xf>
    <xf numFmtId="3" fontId="0" fillId="0" borderId="10" xfId="65" applyNumberFormat="1" applyBorder="1">
      <alignment/>
      <protection/>
    </xf>
    <xf numFmtId="3" fontId="0" fillId="0" borderId="16" xfId="60" applyNumberFormat="1" applyBorder="1">
      <alignment/>
      <protection/>
    </xf>
    <xf numFmtId="3" fontId="0" fillId="0" borderId="47" xfId="60" applyNumberFormat="1" applyBorder="1">
      <alignment/>
      <protection/>
    </xf>
    <xf numFmtId="3" fontId="0" fillId="0" borderId="78" xfId="60" applyNumberFormat="1" applyFill="1" applyBorder="1">
      <alignment/>
      <protection/>
    </xf>
    <xf numFmtId="3" fontId="0" fillId="0" borderId="47" xfId="65" applyNumberFormat="1" applyFill="1" applyBorder="1">
      <alignment/>
      <protection/>
    </xf>
    <xf numFmtId="3" fontId="0" fillId="0" borderId="16" xfId="65" applyNumberFormat="1" applyBorder="1">
      <alignment/>
      <protection/>
    </xf>
    <xf numFmtId="3" fontId="0" fillId="0" borderId="77" xfId="60" applyNumberFormat="1" applyFill="1" applyBorder="1">
      <alignment/>
      <protection/>
    </xf>
    <xf numFmtId="3" fontId="1" fillId="0" borderId="65" xfId="60" applyNumberFormat="1" applyFont="1" applyFill="1" applyBorder="1">
      <alignment/>
      <protection/>
    </xf>
    <xf numFmtId="3" fontId="1" fillId="0" borderId="47" xfId="60" applyNumberFormat="1" applyFont="1" applyBorder="1">
      <alignment/>
      <protection/>
    </xf>
    <xf numFmtId="3" fontId="1" fillId="0" borderId="78" xfId="60" applyNumberFormat="1" applyFont="1" applyBorder="1">
      <alignment/>
      <protection/>
    </xf>
    <xf numFmtId="3" fontId="0" fillId="0" borderId="62" xfId="60" applyNumberFormat="1" applyFill="1" applyBorder="1">
      <alignment/>
      <protection/>
    </xf>
    <xf numFmtId="3" fontId="0" fillId="0" borderId="79" xfId="60" applyNumberFormat="1" applyBorder="1">
      <alignment/>
      <protection/>
    </xf>
    <xf numFmtId="3" fontId="1" fillId="0" borderId="15" xfId="60" applyNumberFormat="1" applyFont="1" applyBorder="1">
      <alignment/>
      <protection/>
    </xf>
    <xf numFmtId="3" fontId="1" fillId="0" borderId="10" xfId="60" applyNumberFormat="1" applyFont="1" applyBorder="1">
      <alignment/>
      <protection/>
    </xf>
    <xf numFmtId="3" fontId="1" fillId="0" borderId="80" xfId="60" applyNumberFormat="1" applyFont="1" applyFill="1" applyBorder="1">
      <alignment/>
      <protection/>
    </xf>
    <xf numFmtId="3" fontId="0" fillId="0" borderId="77" xfId="60" applyNumberFormat="1" applyBorder="1">
      <alignment/>
      <protection/>
    </xf>
    <xf numFmtId="0" fontId="0" fillId="0" borderId="20" xfId="60" applyFont="1" applyFill="1" applyBorder="1" applyAlignment="1">
      <alignment wrapText="1"/>
      <protection/>
    </xf>
    <xf numFmtId="173" fontId="0" fillId="0" borderId="10" xfId="65" applyNumberFormat="1" applyBorder="1">
      <alignment/>
      <protection/>
    </xf>
    <xf numFmtId="3" fontId="0" fillId="0" borderId="0" xfId="60" applyNumberFormat="1">
      <alignment/>
      <protection/>
    </xf>
    <xf numFmtId="3" fontId="0" fillId="0" borderId="81" xfId="60" applyNumberFormat="1" applyBorder="1">
      <alignment/>
      <protection/>
    </xf>
    <xf numFmtId="3" fontId="0" fillId="0" borderId="81" xfId="60" applyNumberFormat="1" applyFill="1" applyBorder="1">
      <alignment/>
      <protection/>
    </xf>
    <xf numFmtId="3" fontId="0" fillId="36" borderId="77" xfId="0" applyNumberFormat="1" applyFont="1" applyFill="1" applyBorder="1" applyAlignment="1" applyProtection="1">
      <alignment horizontal="right"/>
      <protection locked="0"/>
    </xf>
    <xf numFmtId="3" fontId="1" fillId="37" borderId="36" xfId="60" applyNumberFormat="1" applyFont="1" applyFill="1" applyBorder="1">
      <alignment/>
      <protection/>
    </xf>
    <xf numFmtId="3" fontId="0" fillId="38" borderId="77" xfId="0" applyNumberFormat="1" applyFont="1" applyFill="1" applyBorder="1" applyAlignment="1" applyProtection="1">
      <alignment horizontal="right"/>
      <protection locked="0"/>
    </xf>
    <xf numFmtId="3" fontId="0" fillId="0" borderId="77" xfId="65" applyNumberFormat="1" applyBorder="1">
      <alignment/>
      <protection/>
    </xf>
    <xf numFmtId="3" fontId="0" fillId="0" borderId="77" xfId="0" applyNumberFormat="1" applyFont="1" applyFill="1" applyBorder="1" applyAlignment="1" applyProtection="1">
      <alignment horizontal="right"/>
      <protection locked="0"/>
    </xf>
    <xf numFmtId="3" fontId="0" fillId="0" borderId="63" xfId="60" applyNumberFormat="1" applyBorder="1">
      <alignment/>
      <protection/>
    </xf>
    <xf numFmtId="3" fontId="0" fillId="0" borderId="63" xfId="60" applyNumberFormat="1" applyFill="1" applyBorder="1">
      <alignment/>
      <protection/>
    </xf>
    <xf numFmtId="3" fontId="0" fillId="0" borderId="16" xfId="60" applyNumberFormat="1" applyFill="1" applyBorder="1">
      <alignment/>
      <protection/>
    </xf>
    <xf numFmtId="3" fontId="0" fillId="0" borderId="18" xfId="60" applyNumberFormat="1" applyBorder="1">
      <alignment/>
      <protection/>
    </xf>
    <xf numFmtId="3" fontId="0" fillId="0" borderId="18" xfId="60" applyNumberFormat="1" applyFill="1" applyBorder="1">
      <alignment/>
      <protection/>
    </xf>
    <xf numFmtId="3" fontId="0" fillId="0" borderId="43" xfId="60" applyNumberFormat="1" applyFill="1" applyBorder="1">
      <alignment/>
      <protection/>
    </xf>
    <xf numFmtId="3" fontId="0" fillId="0" borderId="77" xfId="61" applyNumberFormat="1" applyFill="1" applyBorder="1">
      <alignment/>
      <protection/>
    </xf>
    <xf numFmtId="3" fontId="0" fillId="39" borderId="39" xfId="61" applyNumberFormat="1" applyFont="1" applyFill="1" applyBorder="1">
      <alignment/>
      <protection/>
    </xf>
    <xf numFmtId="3" fontId="0" fillId="39" borderId="60" xfId="61" applyNumberFormat="1" applyFont="1" applyFill="1" applyBorder="1">
      <alignment/>
      <protection/>
    </xf>
    <xf numFmtId="3" fontId="1" fillId="0" borderId="82" xfId="61" applyNumberFormat="1" applyFont="1" applyBorder="1">
      <alignment/>
      <protection/>
    </xf>
    <xf numFmtId="3" fontId="0" fillId="0" borderId="61" xfId="61" applyNumberFormat="1" applyFont="1" applyBorder="1">
      <alignment/>
      <protection/>
    </xf>
    <xf numFmtId="3" fontId="2" fillId="34" borderId="52" xfId="61" applyNumberFormat="1" applyFont="1" applyFill="1" applyBorder="1">
      <alignment/>
      <protection/>
    </xf>
    <xf numFmtId="3" fontId="0" fillId="0" borderId="77" xfId="61" applyNumberFormat="1" applyFont="1" applyFill="1" applyBorder="1">
      <alignment/>
      <protection/>
    </xf>
    <xf numFmtId="3" fontId="0" fillId="0" borderId="0" xfId="61" applyNumberFormat="1" applyFont="1" applyBorder="1">
      <alignment/>
      <protection/>
    </xf>
    <xf numFmtId="3" fontId="0" fillId="0" borderId="77" xfId="61" applyNumberFormat="1" applyFont="1" applyBorder="1" applyAlignment="1">
      <alignment horizontal="right"/>
      <protection/>
    </xf>
    <xf numFmtId="3" fontId="0" fillId="0" borderId="16" xfId="61" applyNumberFormat="1" applyFont="1" applyBorder="1" applyAlignment="1">
      <alignment horizontal="right"/>
      <protection/>
    </xf>
    <xf numFmtId="3" fontId="0" fillId="0" borderId="18" xfId="61" applyNumberFormat="1" applyFont="1" applyFill="1" applyBorder="1">
      <alignment/>
      <protection/>
    </xf>
    <xf numFmtId="3" fontId="0" fillId="0" borderId="18" xfId="61" applyNumberFormat="1" applyFont="1" applyBorder="1">
      <alignment/>
      <protection/>
    </xf>
    <xf numFmtId="3" fontId="0" fillId="0" borderId="80" xfId="61" applyNumberFormat="1" applyFont="1" applyBorder="1">
      <alignment/>
      <protection/>
    </xf>
    <xf numFmtId="3" fontId="0" fillId="0" borderId="18" xfId="65" applyNumberFormat="1" applyFont="1" applyBorder="1">
      <alignment/>
      <protection/>
    </xf>
    <xf numFmtId="3" fontId="1" fillId="0" borderId="83" xfId="61" applyNumberFormat="1" applyFont="1" applyBorder="1">
      <alignment/>
      <protection/>
    </xf>
    <xf numFmtId="3" fontId="1" fillId="0" borderId="84" xfId="61" applyNumberFormat="1" applyFont="1" applyBorder="1">
      <alignment/>
      <protection/>
    </xf>
    <xf numFmtId="3" fontId="0" fillId="0" borderId="79" xfId="61" applyNumberFormat="1" applyFont="1" applyBorder="1">
      <alignment/>
      <protection/>
    </xf>
    <xf numFmtId="3" fontId="0" fillId="0" borderId="85" xfId="61" applyNumberFormat="1" applyFont="1" applyBorder="1">
      <alignment/>
      <protection/>
    </xf>
    <xf numFmtId="3" fontId="0" fillId="0" borderId="10" xfId="61" applyNumberFormat="1" applyFont="1" applyBorder="1">
      <alignment/>
      <protection/>
    </xf>
    <xf numFmtId="3" fontId="0" fillId="0" borderId="16" xfId="61" applyNumberFormat="1" applyFont="1" applyBorder="1">
      <alignment/>
      <protection/>
    </xf>
    <xf numFmtId="3" fontId="1" fillId="0" borderId="63" xfId="61" applyNumberFormat="1" applyFont="1" applyBorder="1">
      <alignment/>
      <protection/>
    </xf>
    <xf numFmtId="3" fontId="1" fillId="0" borderId="58" xfId="61" applyNumberFormat="1" applyFont="1" applyBorder="1">
      <alignment/>
      <protection/>
    </xf>
    <xf numFmtId="3" fontId="0" fillId="0" borderId="58" xfId="61" applyNumberFormat="1" applyFont="1" applyBorder="1" applyAlignment="1">
      <alignment horizontal="right"/>
      <protection/>
    </xf>
    <xf numFmtId="3" fontId="0" fillId="0" borderId="63" xfId="61" applyNumberFormat="1" applyFont="1" applyFill="1" applyBorder="1" applyAlignment="1">
      <alignment horizontal="right"/>
      <protection/>
    </xf>
    <xf numFmtId="3" fontId="0" fillId="0" borderId="63" xfId="64" applyNumberFormat="1" applyFont="1" applyFill="1" applyBorder="1" applyAlignment="1" applyProtection="1">
      <alignment horizontal="right"/>
      <protection locked="0"/>
    </xf>
    <xf numFmtId="4" fontId="0" fillId="0" borderId="74" xfId="61" applyNumberFormat="1" applyFont="1" applyBorder="1" applyAlignment="1">
      <alignment horizontal="right"/>
      <protection/>
    </xf>
    <xf numFmtId="4" fontId="0" fillId="0" borderId="57" xfId="61" applyNumberFormat="1" applyFont="1" applyBorder="1">
      <alignment/>
      <protection/>
    </xf>
    <xf numFmtId="4" fontId="1" fillId="0" borderId="86" xfId="61" applyNumberFormat="1" applyFont="1" applyBorder="1">
      <alignment/>
      <protection/>
    </xf>
    <xf numFmtId="4" fontId="0" fillId="0" borderId="72" xfId="61" applyNumberFormat="1" applyFont="1" applyBorder="1">
      <alignment/>
      <protection/>
    </xf>
    <xf numFmtId="4" fontId="0" fillId="0" borderId="87" xfId="61" applyNumberFormat="1" applyFont="1" applyBorder="1">
      <alignment/>
      <protection/>
    </xf>
    <xf numFmtId="4" fontId="0" fillId="0" borderId="88" xfId="64" applyNumberFormat="1" applyFont="1" applyFill="1" applyBorder="1" applyAlignment="1" applyProtection="1">
      <alignment horizontal="right"/>
      <protection locked="0"/>
    </xf>
    <xf numFmtId="0" fontId="20" fillId="0" borderId="0" xfId="62" applyFont="1">
      <alignment/>
      <protection/>
    </xf>
    <xf numFmtId="0" fontId="16" fillId="0" borderId="0" xfId="62" applyFont="1">
      <alignment/>
      <protection/>
    </xf>
    <xf numFmtId="0" fontId="10" fillId="0" borderId="0" xfId="62">
      <alignment/>
      <protection/>
    </xf>
    <xf numFmtId="0" fontId="0" fillId="0" borderId="68" xfId="61" applyFont="1" applyBorder="1" applyAlignment="1">
      <alignment horizontal="right"/>
      <protection/>
    </xf>
    <xf numFmtId="0" fontId="0" fillId="0" borderId="89" xfId="61" applyFont="1" applyBorder="1" applyAlignment="1">
      <alignment horizontal="center"/>
      <protection/>
    </xf>
    <xf numFmtId="0" fontId="0" fillId="0" borderId="22" xfId="61" applyFont="1" applyBorder="1" applyAlignment="1">
      <alignment horizontal="center"/>
      <protection/>
    </xf>
    <xf numFmtId="0" fontId="0" fillId="0" borderId="89" xfId="61" applyFont="1" applyBorder="1">
      <alignment/>
      <protection/>
    </xf>
    <xf numFmtId="0" fontId="10" fillId="0" borderId="0" xfId="62" applyFont="1">
      <alignment/>
      <protection/>
    </xf>
    <xf numFmtId="0" fontId="0" fillId="0" borderId="19" xfId="61" applyFont="1" applyBorder="1">
      <alignment/>
      <protection/>
    </xf>
    <xf numFmtId="0" fontId="0" fillId="0" borderId="61" xfId="61" applyFont="1" applyBorder="1" applyAlignment="1">
      <alignment horizontal="center"/>
      <protection/>
    </xf>
    <xf numFmtId="0" fontId="0" fillId="0" borderId="90" xfId="61" applyFont="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0" fontId="0" fillId="0" borderId="61" xfId="61" applyFont="1" applyBorder="1">
      <alignment/>
      <protection/>
    </xf>
    <xf numFmtId="0" fontId="0" fillId="0" borderId="69" xfId="61" applyFont="1" applyBorder="1">
      <alignment/>
      <protection/>
    </xf>
    <xf numFmtId="0" fontId="0" fillId="0" borderId="28" xfId="61" applyFont="1" applyBorder="1" applyAlignment="1">
      <alignment horizontal="center"/>
      <protection/>
    </xf>
    <xf numFmtId="0" fontId="0" fillId="0" borderId="91" xfId="61" applyFont="1" applyBorder="1" applyAlignment="1">
      <alignment horizontal="center"/>
      <protection/>
    </xf>
    <xf numFmtId="0" fontId="0" fillId="0" borderId="26" xfId="61" applyFont="1" applyBorder="1" applyAlignment="1">
      <alignment horizontal="center"/>
      <protection/>
    </xf>
    <xf numFmtId="0" fontId="1" fillId="0" borderId="68" xfId="61" applyFont="1" applyBorder="1">
      <alignment/>
      <protection/>
    </xf>
    <xf numFmtId="0" fontId="65" fillId="0" borderId="89" xfId="61" applyFont="1" applyBorder="1" applyAlignment="1">
      <alignment horizontal="center"/>
      <protection/>
    </xf>
    <xf numFmtId="0" fontId="65" fillId="0" borderId="0" xfId="61" applyFont="1" applyBorder="1" applyAlignment="1">
      <alignment horizontal="center"/>
      <protection/>
    </xf>
    <xf numFmtId="0" fontId="65" fillId="0" borderId="16" xfId="61" applyFont="1" applyBorder="1" applyAlignment="1">
      <alignment horizontal="center"/>
      <protection/>
    </xf>
    <xf numFmtId="1" fontId="65" fillId="0" borderId="61" xfId="61" applyNumberFormat="1" applyFont="1" applyBorder="1">
      <alignment/>
      <protection/>
    </xf>
    <xf numFmtId="1" fontId="65" fillId="0" borderId="39" xfId="61" applyNumberFormat="1" applyFont="1" applyBorder="1" applyAlignment="1">
      <alignment horizontal="center"/>
      <protection/>
    </xf>
    <xf numFmtId="1" fontId="65" fillId="0" borderId="29" xfId="61" applyNumberFormat="1" applyFont="1" applyBorder="1" applyAlignment="1">
      <alignment horizontal="center"/>
      <protection/>
    </xf>
    <xf numFmtId="1" fontId="65" fillId="0" borderId="77" xfId="61" applyNumberFormat="1" applyFont="1" applyBorder="1" applyAlignment="1">
      <alignment horizontal="center"/>
      <protection/>
    </xf>
    <xf numFmtId="1" fontId="65" fillId="0" borderId="39" xfId="61" applyNumberFormat="1" applyFont="1" applyBorder="1">
      <alignment/>
      <protection/>
    </xf>
    <xf numFmtId="3" fontId="0" fillId="0" borderId="29" xfId="61" applyNumberFormat="1" applyFont="1" applyFill="1" applyBorder="1">
      <alignment/>
      <protection/>
    </xf>
    <xf numFmtId="3" fontId="0" fillId="0" borderId="30" xfId="61" applyNumberFormat="1" applyFont="1" applyFill="1" applyBorder="1">
      <alignment/>
      <protection/>
    </xf>
    <xf numFmtId="3" fontId="0" fillId="0" borderId="90" xfId="61" applyNumberFormat="1" applyFont="1" applyFill="1" applyBorder="1">
      <alignment/>
      <protection/>
    </xf>
    <xf numFmtId="3" fontId="1" fillId="0" borderId="25" xfId="61" applyNumberFormat="1" applyFont="1" applyFill="1" applyBorder="1">
      <alignment/>
      <protection/>
    </xf>
    <xf numFmtId="0" fontId="1" fillId="0" borderId="92" xfId="61" applyFont="1" applyBorder="1">
      <alignment/>
      <protection/>
    </xf>
    <xf numFmtId="3" fontId="1" fillId="0" borderId="28" xfId="61" applyNumberFormat="1" applyFont="1" applyBorder="1">
      <alignment/>
      <protection/>
    </xf>
    <xf numFmtId="3" fontId="1" fillId="0" borderId="91" xfId="61" applyNumberFormat="1" applyFont="1" applyBorder="1">
      <alignment/>
      <protection/>
    </xf>
    <xf numFmtId="3" fontId="1" fillId="0" borderId="26" xfId="61" applyNumberFormat="1" applyFont="1" applyBorder="1">
      <alignment/>
      <protection/>
    </xf>
    <xf numFmtId="3" fontId="16" fillId="0" borderId="0" xfId="62" applyNumberFormat="1" applyFont="1">
      <alignment/>
      <protection/>
    </xf>
    <xf numFmtId="3" fontId="0" fillId="0" borderId="31" xfId="61" applyNumberFormat="1" applyFont="1" applyFill="1" applyBorder="1">
      <alignment/>
      <protection/>
    </xf>
    <xf numFmtId="3" fontId="1" fillId="0" borderId="25" xfId="61" applyNumberFormat="1" applyFont="1" applyBorder="1">
      <alignment/>
      <protection/>
    </xf>
    <xf numFmtId="0" fontId="2" fillId="34" borderId="92" xfId="61" applyFont="1" applyFill="1" applyBorder="1">
      <alignment/>
      <protection/>
    </xf>
    <xf numFmtId="3" fontId="2" fillId="34" borderId="28" xfId="61" applyNumberFormat="1" applyFont="1" applyFill="1" applyBorder="1">
      <alignment/>
      <protection/>
    </xf>
    <xf numFmtId="3" fontId="2" fillId="34" borderId="91" xfId="61" applyNumberFormat="1" applyFont="1" applyFill="1" applyBorder="1">
      <alignment/>
      <protection/>
    </xf>
    <xf numFmtId="3" fontId="2" fillId="34" borderId="26" xfId="61" applyNumberFormat="1" applyFont="1" applyFill="1" applyBorder="1">
      <alignment/>
      <protection/>
    </xf>
    <xf numFmtId="3" fontId="10" fillId="0" borderId="0" xfId="62" applyNumberFormat="1">
      <alignment/>
      <protection/>
    </xf>
    <xf numFmtId="0" fontId="0" fillId="0" borderId="20" xfId="60" applyFont="1" applyFill="1" applyBorder="1" applyAlignment="1">
      <alignment wrapText="1"/>
      <protection/>
    </xf>
    <xf numFmtId="0" fontId="0" fillId="0" borderId="19" xfId="60" applyFont="1" applyFill="1" applyBorder="1">
      <alignment/>
      <protection/>
    </xf>
    <xf numFmtId="1" fontId="0" fillId="0" borderId="16" xfId="65" applyNumberFormat="1" applyBorder="1">
      <alignment/>
      <protection/>
    </xf>
    <xf numFmtId="1" fontId="0" fillId="0" borderId="10" xfId="65" applyNumberFormat="1" applyBorder="1">
      <alignment/>
      <protection/>
    </xf>
    <xf numFmtId="3" fontId="0" fillId="0" borderId="47" xfId="60" applyNumberFormat="1" applyBorder="1" applyAlignment="1">
      <alignment horizontal="right"/>
      <protection/>
    </xf>
    <xf numFmtId="3" fontId="1" fillId="0" borderId="93" xfId="60" applyNumberFormat="1" applyFont="1" applyFill="1" applyBorder="1" applyAlignment="1">
      <alignment horizontal="right"/>
      <protection/>
    </xf>
    <xf numFmtId="3" fontId="1" fillId="0" borderId="93" xfId="60" applyNumberFormat="1" applyFont="1" applyFill="1" applyBorder="1">
      <alignment/>
      <protection/>
    </xf>
    <xf numFmtId="3" fontId="1" fillId="0" borderId="10" xfId="60" applyNumberFormat="1" applyFont="1" applyBorder="1" applyAlignment="1">
      <alignment horizontal="right"/>
      <protection/>
    </xf>
    <xf numFmtId="0" fontId="3" fillId="0" borderId="0" xfId="0" applyFont="1" applyAlignment="1">
      <alignment/>
    </xf>
    <xf numFmtId="3" fontId="8" fillId="0" borderId="30" xfId="61" applyNumberFormat="1" applyFont="1" applyFill="1" applyBorder="1">
      <alignment/>
      <protection/>
    </xf>
    <xf numFmtId="3" fontId="8" fillId="0" borderId="52" xfId="61" applyNumberFormat="1" applyFont="1" applyFill="1" applyBorder="1">
      <alignment/>
      <protection/>
    </xf>
    <xf numFmtId="3" fontId="8" fillId="0" borderId="63" xfId="61" applyNumberFormat="1" applyFont="1" applyFill="1" applyBorder="1">
      <alignment/>
      <protection/>
    </xf>
    <xf numFmtId="3" fontId="66" fillId="0" borderId="63" xfId="61" applyNumberFormat="1" applyFont="1" applyFill="1" applyBorder="1">
      <alignment/>
      <protection/>
    </xf>
    <xf numFmtId="0" fontId="0" fillId="0" borderId="89" xfId="60" applyBorder="1">
      <alignment/>
      <protection/>
    </xf>
    <xf numFmtId="0" fontId="0" fillId="0" borderId="61" xfId="60" applyFont="1" applyBorder="1" applyAlignment="1">
      <alignment horizontal="center"/>
      <protection/>
    </xf>
    <xf numFmtId="0" fontId="0" fillId="0" borderId="61" xfId="60" applyFont="1" applyBorder="1">
      <alignment/>
      <protection/>
    </xf>
    <xf numFmtId="0" fontId="0" fillId="0" borderId="60" xfId="60" applyBorder="1">
      <alignment/>
      <protection/>
    </xf>
    <xf numFmtId="0" fontId="0" fillId="0" borderId="61" xfId="60" applyBorder="1">
      <alignment/>
      <protection/>
    </xf>
    <xf numFmtId="0" fontId="0" fillId="0" borderId="61" xfId="60" applyFill="1" applyBorder="1">
      <alignment/>
      <protection/>
    </xf>
    <xf numFmtId="2" fontId="0" fillId="0" borderId="37" xfId="60" applyNumberFormat="1" applyBorder="1">
      <alignment/>
      <protection/>
    </xf>
    <xf numFmtId="2" fontId="0" fillId="0" borderId="61" xfId="60" applyNumberFormat="1" applyBorder="1">
      <alignment/>
      <protection/>
    </xf>
    <xf numFmtId="2" fontId="0" fillId="0" borderId="61" xfId="60" applyNumberFormat="1" applyFont="1" applyBorder="1">
      <alignment/>
      <protection/>
    </xf>
    <xf numFmtId="2" fontId="0" fillId="0" borderId="94" xfId="60" applyNumberFormat="1" applyBorder="1">
      <alignment/>
      <protection/>
    </xf>
    <xf numFmtId="164" fontId="0" fillId="0" borderId="39" xfId="60" applyNumberFormat="1" applyFont="1" applyFill="1" applyBorder="1" applyAlignment="1">
      <alignment wrapText="1"/>
      <protection/>
    </xf>
    <xf numFmtId="3" fontId="0" fillId="0" borderId="52" xfId="65" applyNumberFormat="1" applyFill="1" applyBorder="1">
      <alignment/>
      <protection/>
    </xf>
    <xf numFmtId="1" fontId="0" fillId="0" borderId="10" xfId="65" applyNumberFormat="1" applyFill="1" applyBorder="1">
      <alignment/>
      <protection/>
    </xf>
    <xf numFmtId="0" fontId="0" fillId="0" borderId="51" xfId="60" applyFont="1" applyBorder="1">
      <alignment/>
      <protection/>
    </xf>
    <xf numFmtId="3" fontId="0" fillId="11" borderId="16" xfId="0" applyNumberFormat="1" applyFill="1" applyBorder="1" applyAlignment="1">
      <alignment/>
    </xf>
    <xf numFmtId="0" fontId="1" fillId="0" borderId="69" xfId="60" applyFont="1" applyFill="1" applyBorder="1" applyAlignment="1">
      <alignment wrapText="1"/>
      <protection/>
    </xf>
    <xf numFmtId="3" fontId="1" fillId="0" borderId="17" xfId="60" applyNumberFormat="1" applyFont="1" applyFill="1" applyBorder="1">
      <alignment/>
      <protection/>
    </xf>
    <xf numFmtId="3" fontId="0" fillId="11" borderId="77" xfId="65" applyNumberFormat="1" applyFill="1" applyBorder="1">
      <alignment/>
      <protection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31" xfId="61" applyFont="1" applyBorder="1" applyAlignment="1">
      <alignment horizontal="center"/>
      <protection/>
    </xf>
    <xf numFmtId="0" fontId="0" fillId="0" borderId="16" xfId="61" applyFont="1" applyBorder="1" applyAlignment="1">
      <alignment horizontal="center"/>
      <protection/>
    </xf>
    <xf numFmtId="3" fontId="66" fillId="0" borderId="29" xfId="61" applyNumberFormat="1" applyFont="1" applyFill="1" applyBorder="1">
      <alignment/>
      <protection/>
    </xf>
    <xf numFmtId="0" fontId="0" fillId="0" borderId="0" xfId="61" applyFont="1" applyBorder="1" applyAlignment="1">
      <alignment horizontal="center"/>
      <protection/>
    </xf>
    <xf numFmtId="0" fontId="65" fillId="0" borderId="22" xfId="61" applyFont="1" applyBorder="1" applyAlignment="1">
      <alignment horizontal="center"/>
      <protection/>
    </xf>
    <xf numFmtId="0" fontId="65" fillId="0" borderId="29" xfId="61" applyFont="1" applyBorder="1" applyAlignment="1">
      <alignment horizontal="center"/>
      <protection/>
    </xf>
    <xf numFmtId="3" fontId="0" fillId="0" borderId="63" xfId="61" applyNumberFormat="1" applyFont="1" applyFill="1" applyBorder="1">
      <alignment/>
      <protection/>
    </xf>
    <xf numFmtId="3" fontId="8" fillId="0" borderId="77" xfId="61" applyNumberFormat="1" applyFont="1" applyFill="1" applyBorder="1">
      <alignment/>
      <protection/>
    </xf>
    <xf numFmtId="3" fontId="0" fillId="0" borderId="63" xfId="65" applyNumberFormat="1" applyFont="1" applyFill="1" applyBorder="1">
      <alignment/>
      <protection/>
    </xf>
    <xf numFmtId="3" fontId="65" fillId="0" borderId="77" xfId="61" applyNumberFormat="1" applyFont="1" applyFill="1" applyBorder="1">
      <alignment/>
      <protection/>
    </xf>
    <xf numFmtId="3" fontId="1" fillId="0" borderId="42" xfId="61" applyNumberFormat="1" applyFont="1" applyFill="1" applyBorder="1">
      <alignment/>
      <protection/>
    </xf>
    <xf numFmtId="3" fontId="1" fillId="0" borderId="35" xfId="61" applyNumberFormat="1" applyFont="1" applyFill="1" applyBorder="1">
      <alignment/>
      <protection/>
    </xf>
    <xf numFmtId="0" fontId="10" fillId="0" borderId="24" xfId="61" applyFont="1" applyFill="1" applyBorder="1">
      <alignment/>
      <protection/>
    </xf>
    <xf numFmtId="3" fontId="65" fillId="0" borderId="36" xfId="61" applyNumberFormat="1" applyFont="1" applyFill="1" applyBorder="1">
      <alignment/>
      <protection/>
    </xf>
    <xf numFmtId="3" fontId="65" fillId="0" borderId="29" xfId="61" applyNumberFormat="1" applyFont="1" applyFill="1" applyBorder="1">
      <alignment/>
      <protection/>
    </xf>
    <xf numFmtId="3" fontId="65" fillId="0" borderId="77" xfId="65" applyNumberFormat="1" applyFont="1" applyFill="1" applyBorder="1">
      <alignment/>
      <protection/>
    </xf>
    <xf numFmtId="3" fontId="65" fillId="0" borderId="39" xfId="61" applyNumberFormat="1" applyFont="1" applyFill="1" applyBorder="1">
      <alignment/>
      <protection/>
    </xf>
    <xf numFmtId="0" fontId="24" fillId="0" borderId="24" xfId="58" applyFont="1" applyFill="1" applyBorder="1" applyAlignment="1">
      <alignment horizontal="left" vertical="center"/>
      <protection/>
    </xf>
    <xf numFmtId="3" fontId="8" fillId="0" borderId="36" xfId="61" applyNumberFormat="1" applyFont="1" applyFill="1" applyBorder="1">
      <alignment/>
      <protection/>
    </xf>
    <xf numFmtId="3" fontId="0" fillId="0" borderId="39" xfId="61" applyNumberFormat="1" applyFont="1" applyFill="1" applyBorder="1">
      <alignment/>
      <protection/>
    </xf>
    <xf numFmtId="3" fontId="65" fillId="0" borderId="63" xfId="61" applyNumberFormat="1" applyFont="1" applyFill="1" applyBorder="1">
      <alignment/>
      <protection/>
    </xf>
    <xf numFmtId="3" fontId="65" fillId="0" borderId="30" xfId="61" applyNumberFormat="1" applyFont="1" applyFill="1" applyBorder="1">
      <alignment/>
      <protection/>
    </xf>
    <xf numFmtId="0" fontId="10" fillId="0" borderId="24" xfId="58" applyFont="1" applyFill="1" applyBorder="1" applyAlignment="1">
      <alignment horizontal="left" vertical="center"/>
      <protection/>
    </xf>
    <xf numFmtId="3" fontId="0" fillId="0" borderId="95" xfId="61" applyNumberFormat="1" applyFont="1" applyFill="1" applyBorder="1">
      <alignment/>
      <protection/>
    </xf>
    <xf numFmtId="3" fontId="65" fillId="0" borderId="59" xfId="61" applyNumberFormat="1" applyFont="1" applyFill="1" applyBorder="1">
      <alignment/>
      <protection/>
    </xf>
    <xf numFmtId="3" fontId="65" fillId="0" borderId="31" xfId="61" applyNumberFormat="1" applyFont="1" applyFill="1" applyBorder="1">
      <alignment/>
      <protection/>
    </xf>
    <xf numFmtId="3" fontId="0" fillId="0" borderId="59" xfId="61" applyNumberFormat="1" applyFont="1" applyFill="1" applyBorder="1">
      <alignment/>
      <protection/>
    </xf>
    <xf numFmtId="0" fontId="0" fillId="0" borderId="24" xfId="61" applyFont="1" applyFill="1" applyBorder="1">
      <alignment/>
      <protection/>
    </xf>
    <xf numFmtId="0" fontId="46" fillId="0" borderId="24" xfId="61" applyFont="1" applyFill="1" applyBorder="1">
      <alignment/>
      <protection/>
    </xf>
    <xf numFmtId="0" fontId="1" fillId="0" borderId="40" xfId="61" applyFont="1" applyFill="1" applyBorder="1">
      <alignment/>
      <protection/>
    </xf>
    <xf numFmtId="3" fontId="1" fillId="0" borderId="43" xfId="61" applyNumberFormat="1" applyFont="1" applyFill="1" applyBorder="1">
      <alignment/>
      <protection/>
    </xf>
    <xf numFmtId="3" fontId="1" fillId="0" borderId="96" xfId="61" applyNumberFormat="1" applyFont="1" applyFill="1" applyBorder="1">
      <alignment/>
      <protection/>
    </xf>
    <xf numFmtId="0" fontId="1" fillId="0" borderId="32" xfId="61" applyFont="1" applyFill="1" applyBorder="1">
      <alignment/>
      <protection/>
    </xf>
    <xf numFmtId="3" fontId="1" fillId="0" borderId="13" xfId="61" applyNumberFormat="1" applyFont="1" applyFill="1" applyBorder="1">
      <alignment/>
      <protection/>
    </xf>
    <xf numFmtId="3" fontId="1" fillId="0" borderId="81" xfId="61" applyNumberFormat="1" applyFont="1" applyFill="1" applyBorder="1">
      <alignment/>
      <protection/>
    </xf>
    <xf numFmtId="3" fontId="1" fillId="0" borderId="81" xfId="65" applyNumberFormat="1" applyFont="1" applyFill="1" applyBorder="1">
      <alignment/>
      <protection/>
    </xf>
    <xf numFmtId="3" fontId="1" fillId="0" borderId="43" xfId="65" applyNumberFormat="1" applyFont="1" applyFill="1" applyBorder="1">
      <alignment/>
      <protection/>
    </xf>
    <xf numFmtId="0" fontId="65" fillId="0" borderId="19" xfId="61" applyFont="1" applyFill="1" applyBorder="1">
      <alignment/>
      <protection/>
    </xf>
    <xf numFmtId="3" fontId="65" fillId="0" borderId="61" xfId="61" applyNumberFormat="1" applyFont="1" applyFill="1" applyBorder="1">
      <alignment/>
      <protection/>
    </xf>
    <xf numFmtId="3" fontId="0" fillId="0" borderId="0" xfId="61" applyNumberFormat="1" applyFont="1" applyFill="1" applyBorder="1">
      <alignment/>
      <protection/>
    </xf>
    <xf numFmtId="3" fontId="65" fillId="0" borderId="16" xfId="61" applyNumberFormat="1" applyFont="1" applyFill="1" applyBorder="1">
      <alignment/>
      <protection/>
    </xf>
    <xf numFmtId="3" fontId="65" fillId="0" borderId="0" xfId="61" applyNumberFormat="1" applyFont="1" applyFill="1" applyBorder="1">
      <alignment/>
      <protection/>
    </xf>
    <xf numFmtId="0" fontId="1" fillId="0" borderId="92" xfId="61" applyFont="1" applyFill="1" applyBorder="1">
      <alignment/>
      <protection/>
    </xf>
    <xf numFmtId="3" fontId="1" fillId="0" borderId="28" xfId="61" applyNumberFormat="1" applyFont="1" applyFill="1" applyBorder="1">
      <alignment/>
      <protection/>
    </xf>
    <xf numFmtId="3" fontId="1" fillId="0" borderId="91" xfId="61" applyNumberFormat="1" applyFont="1" applyFill="1" applyBorder="1">
      <alignment/>
      <protection/>
    </xf>
    <xf numFmtId="3" fontId="1" fillId="0" borderId="26" xfId="61" applyNumberFormat="1" applyFont="1" applyFill="1" applyBorder="1">
      <alignment/>
      <protection/>
    </xf>
    <xf numFmtId="0" fontId="0" fillId="0" borderId="24" xfId="59" applyFont="1" applyFill="1" applyBorder="1">
      <alignment/>
      <protection/>
    </xf>
    <xf numFmtId="0" fontId="0" fillId="0" borderId="24" xfId="61" applyFont="1" applyFill="1" applyBorder="1">
      <alignment/>
      <protection/>
    </xf>
    <xf numFmtId="0" fontId="0" fillId="0" borderId="24" xfId="59" applyFont="1" applyFill="1" applyBorder="1">
      <alignment/>
      <protection/>
    </xf>
    <xf numFmtId="0" fontId="1" fillId="0" borderId="23" xfId="61" applyFont="1" applyFill="1" applyBorder="1">
      <alignment/>
      <protection/>
    </xf>
    <xf numFmtId="3" fontId="1" fillId="0" borderId="37" xfId="61" applyNumberFormat="1" applyFont="1" applyFill="1" applyBorder="1">
      <alignment/>
      <protection/>
    </xf>
    <xf numFmtId="3" fontId="1" fillId="0" borderId="78" xfId="61" applyNumberFormat="1" applyFont="1" applyFill="1" applyBorder="1">
      <alignment/>
      <protection/>
    </xf>
    <xf numFmtId="3" fontId="1" fillId="0" borderId="47" xfId="61" applyNumberFormat="1" applyFont="1" applyFill="1" applyBorder="1">
      <alignment/>
      <protection/>
    </xf>
    <xf numFmtId="3" fontId="1" fillId="0" borderId="45" xfId="61" applyNumberFormat="1" applyFont="1" applyFill="1" applyBorder="1">
      <alignment/>
      <protection/>
    </xf>
    <xf numFmtId="3" fontId="1" fillId="0" borderId="53" xfId="61" applyNumberFormat="1" applyFont="1" applyFill="1" applyBorder="1">
      <alignment/>
      <protection/>
    </xf>
    <xf numFmtId="3" fontId="10" fillId="0" borderId="0" xfId="62" applyNumberFormat="1" applyFont="1">
      <alignment/>
      <protection/>
    </xf>
    <xf numFmtId="3" fontId="20" fillId="0" borderId="0" xfId="62" applyNumberFormat="1" applyFont="1">
      <alignment/>
      <protection/>
    </xf>
    <xf numFmtId="3" fontId="0" fillId="0" borderId="80" xfId="65" applyNumberFormat="1" applyFont="1" applyBorder="1">
      <alignment/>
      <protection/>
    </xf>
    <xf numFmtId="3" fontId="0" fillId="0" borderId="0" xfId="61" applyNumberFormat="1">
      <alignment/>
      <protection/>
    </xf>
    <xf numFmtId="4" fontId="2" fillId="34" borderId="29" xfId="61" applyNumberFormat="1" applyFont="1" applyFill="1" applyBorder="1">
      <alignment/>
      <protection/>
    </xf>
    <xf numFmtId="3" fontId="2" fillId="34" borderId="36" xfId="61" applyNumberFormat="1" applyFont="1" applyFill="1" applyBorder="1">
      <alignment/>
      <protection/>
    </xf>
    <xf numFmtId="3" fontId="0" fillId="0" borderId="63" xfId="61" applyNumberFormat="1" applyFill="1" applyBorder="1">
      <alignment/>
      <protection/>
    </xf>
    <xf numFmtId="0" fontId="0" fillId="0" borderId="66" xfId="0" applyFont="1" applyFill="1" applyBorder="1" applyAlignment="1">
      <alignment wrapText="1"/>
    </xf>
    <xf numFmtId="3" fontId="0" fillId="0" borderId="63" xfId="0" applyNumberFormat="1" applyFont="1" applyFill="1" applyBorder="1" applyAlignment="1">
      <alignment/>
    </xf>
    <xf numFmtId="3" fontId="0" fillId="0" borderId="77" xfId="61" applyNumberFormat="1" applyBorder="1">
      <alignment/>
      <protection/>
    </xf>
    <xf numFmtId="3" fontId="0" fillId="0" borderId="10" xfId="65" applyNumberFormat="1" applyFill="1" applyBorder="1">
      <alignment/>
      <protection/>
    </xf>
    <xf numFmtId="172" fontId="0" fillId="0" borderId="10" xfId="60" applyNumberFormat="1" applyFont="1" applyBorder="1">
      <alignment/>
      <protection/>
    </xf>
    <xf numFmtId="3" fontId="0" fillId="0" borderId="78" xfId="65" applyNumberFormat="1" applyFill="1" applyBorder="1">
      <alignment/>
      <protection/>
    </xf>
    <xf numFmtId="2" fontId="0" fillId="0" borderId="87" xfId="61" applyNumberFormat="1" applyFill="1" applyBorder="1">
      <alignment/>
      <protection/>
    </xf>
    <xf numFmtId="0" fontId="0" fillId="0" borderId="66" xfId="0" applyFont="1" applyFill="1" applyBorder="1" applyAlignment="1">
      <alignment/>
    </xf>
    <xf numFmtId="2" fontId="0" fillId="0" borderId="87" xfId="0" applyNumberFormat="1" applyFont="1" applyFill="1" applyBorder="1" applyAlignment="1">
      <alignment/>
    </xf>
    <xf numFmtId="164" fontId="0" fillId="0" borderId="88" xfId="61" applyNumberFormat="1" applyFont="1" applyFill="1" applyBorder="1" applyAlignment="1">
      <alignment wrapText="1"/>
      <protection/>
    </xf>
    <xf numFmtId="164" fontId="0" fillId="0" borderId="74" xfId="61" applyNumberFormat="1" applyFill="1" applyBorder="1">
      <alignment/>
      <protection/>
    </xf>
    <xf numFmtId="164" fontId="0" fillId="40" borderId="97" xfId="61" applyNumberFormat="1" applyFont="1" applyFill="1" applyBorder="1" applyAlignment="1">
      <alignment wrapText="1"/>
      <protection/>
    </xf>
    <xf numFmtId="2" fontId="0" fillId="0" borderId="98" xfId="0" applyNumberFormat="1" applyFont="1" applyFill="1" applyBorder="1" applyAlignment="1">
      <alignment/>
    </xf>
    <xf numFmtId="3" fontId="1" fillId="0" borderId="26" xfId="65" applyNumberFormat="1" applyFont="1" applyFill="1" applyBorder="1">
      <alignment/>
      <protection/>
    </xf>
    <xf numFmtId="2" fontId="1" fillId="0" borderId="99" xfId="61" applyNumberFormat="1" applyFont="1" applyFill="1" applyBorder="1">
      <alignment/>
      <protection/>
    </xf>
    <xf numFmtId="2" fontId="0" fillId="0" borderId="72" xfId="0" applyNumberFormat="1" applyFont="1" applyFill="1" applyBorder="1" applyAlignment="1">
      <alignment/>
    </xf>
    <xf numFmtId="3" fontId="1" fillId="0" borderId="27" xfId="61" applyNumberFormat="1" applyFont="1" applyFill="1" applyBorder="1">
      <alignment/>
      <protection/>
    </xf>
    <xf numFmtId="3" fontId="1" fillId="0" borderId="27" xfId="61" applyNumberFormat="1" applyFont="1" applyBorder="1">
      <alignment/>
      <protection/>
    </xf>
    <xf numFmtId="0" fontId="9" fillId="41" borderId="40" xfId="61" applyFont="1" applyFill="1" applyBorder="1" applyAlignment="1">
      <alignment horizontal="center"/>
      <protection/>
    </xf>
    <xf numFmtId="0" fontId="1" fillId="0" borderId="92" xfId="61" applyFont="1" applyFill="1" applyBorder="1" applyAlignment="1">
      <alignment wrapText="1"/>
      <protection/>
    </xf>
    <xf numFmtId="0" fontId="1" fillId="42" borderId="92" xfId="61" applyFont="1" applyFill="1" applyBorder="1" applyAlignment="1">
      <alignment wrapText="1"/>
      <protection/>
    </xf>
    <xf numFmtId="2" fontId="1" fillId="42" borderId="99" xfId="61" applyNumberFormat="1" applyFont="1" applyFill="1" applyBorder="1">
      <alignment/>
      <protection/>
    </xf>
    <xf numFmtId="164" fontId="0" fillId="0" borderId="100" xfId="61" applyNumberFormat="1" applyFont="1" applyFill="1" applyBorder="1" applyAlignment="1">
      <alignment wrapText="1"/>
      <protection/>
    </xf>
    <xf numFmtId="0" fontId="0" fillId="42" borderId="28" xfId="0" applyFill="1" applyBorder="1" applyAlignment="1">
      <alignment horizontal="center" vertical="center" wrapText="1"/>
    </xf>
    <xf numFmtId="0" fontId="1" fillId="0" borderId="40" xfId="61" applyFont="1" applyFill="1" applyBorder="1" applyAlignment="1">
      <alignment wrapText="1"/>
      <protection/>
    </xf>
    <xf numFmtId="3" fontId="1" fillId="0" borderId="10" xfId="61" applyNumberFormat="1" applyFont="1" applyFill="1" applyBorder="1">
      <alignment/>
      <protection/>
    </xf>
    <xf numFmtId="3" fontId="1" fillId="0" borderId="16" xfId="65" applyNumberFormat="1" applyFont="1" applyFill="1" applyBorder="1">
      <alignment/>
      <protection/>
    </xf>
    <xf numFmtId="2" fontId="1" fillId="0" borderId="72" xfId="61" applyNumberFormat="1" applyFont="1" applyFill="1" applyBorder="1">
      <alignment/>
      <protection/>
    </xf>
    <xf numFmtId="0" fontId="0" fillId="0" borderId="100" xfId="0" applyFill="1" applyBorder="1" applyAlignment="1">
      <alignment horizontal="center" vertical="center" wrapText="1"/>
    </xf>
    <xf numFmtId="0" fontId="1" fillId="15" borderId="19" xfId="61" applyFont="1" applyFill="1" applyBorder="1">
      <alignment/>
      <protection/>
    </xf>
    <xf numFmtId="0" fontId="9" fillId="0" borderId="68" xfId="61" applyFont="1" applyFill="1" applyBorder="1">
      <alignment/>
      <protection/>
    </xf>
    <xf numFmtId="0" fontId="1" fillId="43" borderId="40" xfId="61" applyFont="1" applyFill="1" applyBorder="1" applyAlignment="1">
      <alignment wrapText="1"/>
      <protection/>
    </xf>
    <xf numFmtId="3" fontId="1" fillId="43" borderId="18" xfId="61" applyNumberFormat="1" applyFont="1" applyFill="1" applyBorder="1">
      <alignment/>
      <protection/>
    </xf>
    <xf numFmtId="164" fontId="0" fillId="0" borderId="101" xfId="61" applyNumberFormat="1" applyFont="1" applyFill="1" applyBorder="1" applyAlignment="1">
      <alignment wrapText="1"/>
      <protection/>
    </xf>
    <xf numFmtId="3" fontId="0" fillId="0" borderId="13" xfId="61" applyNumberFormat="1" applyFont="1" applyFill="1" applyBorder="1">
      <alignment/>
      <protection/>
    </xf>
    <xf numFmtId="164" fontId="0" fillId="0" borderId="13" xfId="61" applyNumberFormat="1" applyFill="1" applyBorder="1">
      <alignment/>
      <protection/>
    </xf>
    <xf numFmtId="164" fontId="0" fillId="0" borderId="102" xfId="61" applyNumberFormat="1" applyFont="1" applyFill="1" applyBorder="1" applyAlignment="1">
      <alignment wrapText="1"/>
      <protection/>
    </xf>
    <xf numFmtId="164" fontId="1" fillId="41" borderId="103" xfId="61" applyNumberFormat="1" applyFont="1" applyFill="1" applyBorder="1" applyAlignment="1">
      <alignment wrapText="1"/>
      <protection/>
    </xf>
    <xf numFmtId="164" fontId="0" fillId="15" borderId="104" xfId="61" applyNumberFormat="1" applyFont="1" applyFill="1" applyBorder="1">
      <alignment/>
      <protection/>
    </xf>
    <xf numFmtId="2" fontId="1" fillId="43" borderId="76" xfId="61" applyNumberFormat="1" applyFont="1" applyFill="1" applyBorder="1">
      <alignment/>
      <protection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>
      <alignment wrapText="1"/>
    </xf>
    <xf numFmtId="0" fontId="0" fillId="0" borderId="105" xfId="0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0" fillId="44" borderId="37" xfId="0" applyFont="1" applyFill="1" applyBorder="1" applyAlignment="1">
      <alignment horizontal="center"/>
    </xf>
    <xf numFmtId="3" fontId="0" fillId="44" borderId="36" xfId="61" applyNumberFormat="1" applyFont="1" applyFill="1" applyBorder="1">
      <alignment/>
      <protection/>
    </xf>
    <xf numFmtId="3" fontId="0" fillId="44" borderId="95" xfId="61" applyNumberFormat="1" applyFont="1" applyFill="1" applyBorder="1">
      <alignment/>
      <protection/>
    </xf>
    <xf numFmtId="3" fontId="1" fillId="42" borderId="28" xfId="61" applyNumberFormat="1" applyFont="1" applyFill="1" applyBorder="1">
      <alignment/>
      <protection/>
    </xf>
    <xf numFmtId="3" fontId="1" fillId="44" borderId="61" xfId="61" applyNumberFormat="1" applyFont="1" applyFill="1" applyBorder="1">
      <alignment/>
      <protection/>
    </xf>
    <xf numFmtId="3" fontId="0" fillId="44" borderId="61" xfId="61" applyNumberFormat="1" applyFont="1" applyFill="1" applyBorder="1">
      <alignment/>
      <protection/>
    </xf>
    <xf numFmtId="3" fontId="1" fillId="44" borderId="28" xfId="61" applyNumberFormat="1" applyFont="1" applyFill="1" applyBorder="1">
      <alignment/>
      <protection/>
    </xf>
    <xf numFmtId="3" fontId="0" fillId="44" borderId="39" xfId="61" applyNumberFormat="1" applyFont="1" applyFill="1" applyBorder="1">
      <alignment/>
      <protection/>
    </xf>
    <xf numFmtId="3" fontId="1" fillId="41" borderId="42" xfId="61" applyNumberFormat="1" applyFont="1" applyFill="1" applyBorder="1">
      <alignment/>
      <protection/>
    </xf>
    <xf numFmtId="3" fontId="1" fillId="43" borderId="80" xfId="61" applyNumberFormat="1" applyFont="1" applyFill="1" applyBorder="1">
      <alignment/>
      <protection/>
    </xf>
    <xf numFmtId="3" fontId="1" fillId="43" borderId="60" xfId="61" applyNumberFormat="1" applyFont="1" applyFill="1" applyBorder="1">
      <alignment/>
      <protection/>
    </xf>
    <xf numFmtId="0" fontId="0" fillId="0" borderId="68" xfId="61" applyBorder="1" applyAlignment="1">
      <alignment horizontal="right"/>
      <protection/>
    </xf>
    <xf numFmtId="0" fontId="0" fillId="0" borderId="11" xfId="61" applyBorder="1">
      <alignment/>
      <protection/>
    </xf>
    <xf numFmtId="0" fontId="0" fillId="0" borderId="22" xfId="61" applyBorder="1">
      <alignment/>
      <protection/>
    </xf>
    <xf numFmtId="0" fontId="0" fillId="0" borderId="13" xfId="61" applyBorder="1">
      <alignment/>
      <protection/>
    </xf>
    <xf numFmtId="0" fontId="0" fillId="0" borderId="14" xfId="61" applyBorder="1">
      <alignment/>
      <protection/>
    </xf>
    <xf numFmtId="0" fontId="0" fillId="0" borderId="71" xfId="61" applyBorder="1">
      <alignment/>
      <protection/>
    </xf>
    <xf numFmtId="0" fontId="0" fillId="0" borderId="106" xfId="61" applyBorder="1">
      <alignment/>
      <protection/>
    </xf>
    <xf numFmtId="0" fontId="0" fillId="0" borderId="19" xfId="61" applyBorder="1">
      <alignment/>
      <protection/>
    </xf>
    <xf numFmtId="0" fontId="0" fillId="0" borderId="15" xfId="61" applyBorder="1">
      <alignment/>
      <protection/>
    </xf>
    <xf numFmtId="0" fontId="0" fillId="0" borderId="51" xfId="61" applyBorder="1">
      <alignment/>
      <protection/>
    </xf>
    <xf numFmtId="0" fontId="0" fillId="0" borderId="51" xfId="61" applyFont="1" applyBorder="1">
      <alignment/>
      <protection/>
    </xf>
    <xf numFmtId="0" fontId="0" fillId="0" borderId="72" xfId="61" applyBorder="1">
      <alignment/>
      <protection/>
    </xf>
    <xf numFmtId="0" fontId="0" fillId="0" borderId="10" xfId="61" applyFont="1" applyBorder="1">
      <alignment/>
      <protection/>
    </xf>
    <xf numFmtId="10" fontId="0" fillId="0" borderId="10" xfId="61" applyNumberFormat="1" applyFont="1" applyBorder="1">
      <alignment/>
      <protection/>
    </xf>
    <xf numFmtId="0" fontId="0" fillId="0" borderId="10" xfId="61" applyBorder="1">
      <alignment/>
      <protection/>
    </xf>
    <xf numFmtId="0" fontId="0" fillId="0" borderId="69" xfId="61" applyBorder="1">
      <alignment/>
      <protection/>
    </xf>
    <xf numFmtId="0" fontId="0" fillId="0" borderId="17" xfId="61" applyFont="1" applyBorder="1" applyAlignment="1">
      <alignment horizontal="center"/>
      <protection/>
    </xf>
    <xf numFmtId="0" fontId="0" fillId="0" borderId="18" xfId="61" applyFont="1" applyBorder="1" applyAlignment="1">
      <alignment horizontal="center"/>
      <protection/>
    </xf>
    <xf numFmtId="0" fontId="0" fillId="0" borderId="76" xfId="61" applyFont="1" applyBorder="1" applyAlignment="1">
      <alignment horizontal="center"/>
      <protection/>
    </xf>
    <xf numFmtId="0" fontId="1" fillId="0" borderId="0" xfId="61" applyFont="1" applyFill="1" applyAlignment="1">
      <alignment horizontal="right"/>
      <protection/>
    </xf>
    <xf numFmtId="0" fontId="9" fillId="0" borderId="19" xfId="61" applyFont="1" applyFill="1" applyBorder="1">
      <alignment/>
      <protection/>
    </xf>
    <xf numFmtId="3" fontId="0" fillId="0" borderId="11" xfId="61" applyNumberFormat="1" applyFont="1" applyBorder="1" applyAlignment="1">
      <alignment horizontal="center"/>
      <protection/>
    </xf>
    <xf numFmtId="0" fontId="0" fillId="0" borderId="72" xfId="61" applyFont="1" applyBorder="1" applyAlignment="1">
      <alignment horizontal="center"/>
      <protection/>
    </xf>
    <xf numFmtId="0" fontId="1" fillId="0" borderId="19" xfId="61" applyFont="1" applyFill="1" applyBorder="1">
      <alignment/>
      <protection/>
    </xf>
    <xf numFmtId="3" fontId="0" fillId="0" borderId="15" xfId="61" applyNumberFormat="1" applyFont="1" applyBorder="1" applyAlignment="1">
      <alignment horizontal="right"/>
      <protection/>
    </xf>
    <xf numFmtId="3" fontId="0" fillId="0" borderId="10" xfId="61" applyNumberFormat="1" applyFont="1" applyBorder="1" applyAlignment="1">
      <alignment horizontal="right"/>
      <protection/>
    </xf>
    <xf numFmtId="2" fontId="0" fillId="0" borderId="72" xfId="61" applyNumberFormat="1" applyFont="1" applyBorder="1" applyAlignment="1">
      <alignment horizontal="right"/>
      <protection/>
    </xf>
    <xf numFmtId="3" fontId="0" fillId="0" borderId="10" xfId="61" applyNumberFormat="1" applyFont="1" applyFill="1" applyBorder="1" applyAlignment="1">
      <alignment horizontal="right"/>
      <protection/>
    </xf>
    <xf numFmtId="2" fontId="0" fillId="0" borderId="72" xfId="61" applyNumberFormat="1" applyFont="1" applyFill="1" applyBorder="1" applyAlignment="1">
      <alignment horizontal="right"/>
      <protection/>
    </xf>
    <xf numFmtId="0" fontId="0" fillId="0" borderId="0" xfId="61" applyFill="1">
      <alignment/>
      <protection/>
    </xf>
    <xf numFmtId="0" fontId="0" fillId="0" borderId="23" xfId="61" applyFont="1" applyFill="1" applyBorder="1">
      <alignment/>
      <protection/>
    </xf>
    <xf numFmtId="3" fontId="0" fillId="0" borderId="65" xfId="61" applyNumberFormat="1" applyBorder="1">
      <alignment/>
      <protection/>
    </xf>
    <xf numFmtId="3" fontId="0" fillId="0" borderId="78" xfId="61" applyNumberFormat="1" applyBorder="1">
      <alignment/>
      <protection/>
    </xf>
    <xf numFmtId="2" fontId="0" fillId="0" borderId="73" xfId="61" applyNumberFormat="1" applyBorder="1">
      <alignment/>
      <protection/>
    </xf>
    <xf numFmtId="0" fontId="0" fillId="0" borderId="19" xfId="61" applyFont="1" applyFill="1" applyBorder="1">
      <alignment/>
      <protection/>
    </xf>
    <xf numFmtId="3" fontId="0" fillId="0" borderId="15" xfId="61" applyNumberFormat="1" applyBorder="1">
      <alignment/>
      <protection/>
    </xf>
    <xf numFmtId="3" fontId="0" fillId="0" borderId="10" xfId="61" applyNumberFormat="1" applyBorder="1">
      <alignment/>
      <protection/>
    </xf>
    <xf numFmtId="2" fontId="0" fillId="0" borderId="72" xfId="61" applyNumberFormat="1" applyBorder="1">
      <alignment/>
      <protection/>
    </xf>
    <xf numFmtId="0" fontId="9" fillId="0" borderId="19" xfId="61" applyFont="1" applyFill="1" applyBorder="1">
      <alignment/>
      <protection/>
    </xf>
    <xf numFmtId="3" fontId="0" fillId="0" borderId="10" xfId="61" applyNumberFormat="1" applyFill="1" applyBorder="1">
      <alignment/>
      <protection/>
    </xf>
    <xf numFmtId="2" fontId="0" fillId="0" borderId="72" xfId="61" applyNumberFormat="1" applyFill="1" applyBorder="1">
      <alignment/>
      <protection/>
    </xf>
    <xf numFmtId="3" fontId="0" fillId="0" borderId="16" xfId="61" applyNumberFormat="1" applyBorder="1">
      <alignment/>
      <protection/>
    </xf>
    <xf numFmtId="3" fontId="0" fillId="0" borderId="21" xfId="61" applyNumberFormat="1" applyFont="1" applyFill="1" applyBorder="1">
      <alignment/>
      <protection/>
    </xf>
    <xf numFmtId="3" fontId="0" fillId="0" borderId="52" xfId="61" applyNumberFormat="1" applyFont="1" applyFill="1" applyBorder="1">
      <alignment/>
      <protection/>
    </xf>
    <xf numFmtId="2" fontId="0" fillId="0" borderId="74" xfId="61" applyNumberFormat="1" applyFill="1" applyBorder="1">
      <alignment/>
      <protection/>
    </xf>
    <xf numFmtId="0" fontId="1" fillId="0" borderId="23" xfId="61" applyFont="1" applyFill="1" applyBorder="1">
      <alignment/>
      <protection/>
    </xf>
    <xf numFmtId="3" fontId="1" fillId="0" borderId="65" xfId="61" applyNumberFormat="1" applyFont="1" applyFill="1" applyBorder="1">
      <alignment/>
      <protection/>
    </xf>
    <xf numFmtId="3" fontId="1" fillId="0" borderId="47" xfId="61" applyNumberFormat="1" applyFont="1" applyBorder="1">
      <alignment/>
      <protection/>
    </xf>
    <xf numFmtId="3" fontId="1" fillId="0" borderId="78" xfId="61" applyNumberFormat="1" applyFont="1" applyBorder="1">
      <alignment/>
      <protection/>
    </xf>
    <xf numFmtId="2" fontId="1" fillId="0" borderId="73" xfId="61" applyNumberFormat="1" applyFont="1" applyBorder="1">
      <alignment/>
      <protection/>
    </xf>
    <xf numFmtId="0" fontId="1" fillId="0" borderId="70" xfId="61" applyFont="1" applyFill="1" applyBorder="1">
      <alignment/>
      <protection/>
    </xf>
    <xf numFmtId="3" fontId="0" fillId="0" borderId="62" xfId="61" applyNumberFormat="1" applyFill="1" applyBorder="1">
      <alignment/>
      <protection/>
    </xf>
    <xf numFmtId="3" fontId="0" fillId="0" borderId="79" xfId="61" applyNumberFormat="1" applyBorder="1">
      <alignment/>
      <protection/>
    </xf>
    <xf numFmtId="2" fontId="0" fillId="0" borderId="75" xfId="61" applyNumberFormat="1" applyBorder="1">
      <alignment/>
      <protection/>
    </xf>
    <xf numFmtId="0" fontId="0" fillId="0" borderId="0" xfId="61" applyFont="1" applyFill="1" applyAlignment="1">
      <alignment horizontal="right"/>
      <protection/>
    </xf>
    <xf numFmtId="3" fontId="1" fillId="0" borderId="15" xfId="61" applyNumberFormat="1" applyFont="1" applyBorder="1">
      <alignment/>
      <protection/>
    </xf>
    <xf numFmtId="3" fontId="1" fillId="0" borderId="10" xfId="61" applyNumberFormat="1" applyFont="1" applyBorder="1">
      <alignment/>
      <protection/>
    </xf>
    <xf numFmtId="2" fontId="1" fillId="0" borderId="72" xfId="61" applyNumberFormat="1" applyFont="1" applyBorder="1">
      <alignment/>
      <protection/>
    </xf>
    <xf numFmtId="0" fontId="0" fillId="0" borderId="20" xfId="61" applyFont="1" applyFill="1" applyBorder="1" applyAlignment="1">
      <alignment wrapText="1"/>
      <protection/>
    </xf>
    <xf numFmtId="3" fontId="0" fillId="11" borderId="52" xfId="61" applyNumberFormat="1" applyFont="1" applyFill="1" applyBorder="1">
      <alignment/>
      <protection/>
    </xf>
    <xf numFmtId="3" fontId="0" fillId="6" borderId="52" xfId="61" applyNumberFormat="1" applyFill="1" applyBorder="1">
      <alignment/>
      <protection/>
    </xf>
    <xf numFmtId="0" fontId="0" fillId="0" borderId="24" xfId="61" applyFont="1" applyFill="1" applyBorder="1" applyAlignment="1">
      <alignment wrapText="1"/>
      <protection/>
    </xf>
    <xf numFmtId="3" fontId="0" fillId="0" borderId="66" xfId="61" applyNumberFormat="1" applyFont="1" applyFill="1" applyBorder="1">
      <alignment/>
      <protection/>
    </xf>
    <xf numFmtId="3" fontId="0" fillId="0" borderId="58" xfId="61" applyNumberFormat="1" applyFont="1" applyFill="1" applyBorder="1">
      <alignment/>
      <protection/>
    </xf>
    <xf numFmtId="164" fontId="0" fillId="0" borderId="87" xfId="61" applyNumberFormat="1" applyFill="1" applyBorder="1">
      <alignment/>
      <protection/>
    </xf>
    <xf numFmtId="0" fontId="1" fillId="0" borderId="69" xfId="61" applyFont="1" applyFill="1" applyBorder="1">
      <alignment/>
      <protection/>
    </xf>
    <xf numFmtId="3" fontId="1" fillId="0" borderId="17" xfId="61" applyNumberFormat="1" applyFont="1" applyFill="1" applyBorder="1">
      <alignment/>
      <protection/>
    </xf>
    <xf numFmtId="3" fontId="1" fillId="0" borderId="80" xfId="61" applyNumberFormat="1" applyFont="1" applyFill="1" applyBorder="1">
      <alignment/>
      <protection/>
    </xf>
    <xf numFmtId="2" fontId="1" fillId="0" borderId="76" xfId="61" applyNumberFormat="1" applyFont="1" applyFill="1" applyBorder="1">
      <alignment/>
      <protection/>
    </xf>
    <xf numFmtId="0" fontId="1" fillId="0" borderId="19" xfId="61" applyFont="1" applyFill="1" applyBorder="1">
      <alignment/>
      <protection/>
    </xf>
    <xf numFmtId="3" fontId="1" fillId="0" borderId="15" xfId="61" applyNumberFormat="1" applyFont="1" applyFill="1" applyBorder="1">
      <alignment/>
      <protection/>
    </xf>
    <xf numFmtId="3" fontId="1" fillId="0" borderId="0" xfId="61" applyNumberFormat="1" applyFont="1" applyFill="1" applyBorder="1">
      <alignment/>
      <protection/>
    </xf>
    <xf numFmtId="0" fontId="1" fillId="0" borderId="69" xfId="61" applyFont="1" applyFill="1" applyBorder="1" applyAlignment="1">
      <alignment wrapText="1"/>
      <protection/>
    </xf>
    <xf numFmtId="3" fontId="1" fillId="0" borderId="17" xfId="61" applyNumberFormat="1" applyFont="1" applyFill="1" applyBorder="1">
      <alignment/>
      <protection/>
    </xf>
    <xf numFmtId="164" fontId="1" fillId="0" borderId="76" xfId="61" applyNumberFormat="1" applyFont="1" applyFill="1" applyBorder="1">
      <alignment/>
      <protection/>
    </xf>
    <xf numFmtId="3" fontId="1" fillId="0" borderId="12" xfId="61" applyNumberFormat="1" applyFont="1" applyFill="1" applyBorder="1">
      <alignment/>
      <protection/>
    </xf>
    <xf numFmtId="3" fontId="0" fillId="0" borderId="15" xfId="61" applyNumberFormat="1" applyFont="1" applyFill="1" applyBorder="1">
      <alignment/>
      <protection/>
    </xf>
    <xf numFmtId="3" fontId="0" fillId="0" borderId="10" xfId="61" applyNumberFormat="1" applyFont="1" applyFill="1" applyBorder="1">
      <alignment/>
      <protection/>
    </xf>
    <xf numFmtId="164" fontId="0" fillId="0" borderId="72" xfId="61" applyNumberFormat="1" applyFill="1" applyBorder="1">
      <alignment/>
      <protection/>
    </xf>
    <xf numFmtId="0" fontId="0" fillId="0" borderId="20" xfId="61" applyFont="1" applyFill="1" applyBorder="1" applyAlignment="1">
      <alignment wrapText="1"/>
      <protection/>
    </xf>
    <xf numFmtId="0" fontId="9" fillId="0" borderId="19" xfId="61" applyFont="1" applyFill="1" applyBorder="1" applyAlignment="1">
      <alignment wrapText="1"/>
      <protection/>
    </xf>
    <xf numFmtId="1" fontId="0" fillId="0" borderId="15" xfId="61" applyNumberFormat="1" applyFont="1" applyFill="1" applyBorder="1">
      <alignment/>
      <protection/>
    </xf>
    <xf numFmtId="1" fontId="0" fillId="0" borderId="10" xfId="61" applyNumberFormat="1" applyFont="1" applyFill="1" applyBorder="1">
      <alignment/>
      <protection/>
    </xf>
    <xf numFmtId="1" fontId="0" fillId="0" borderId="10" xfId="61" applyNumberFormat="1" applyFill="1" applyBorder="1">
      <alignment/>
      <protection/>
    </xf>
    <xf numFmtId="1" fontId="0" fillId="0" borderId="10" xfId="61" applyNumberFormat="1" applyBorder="1">
      <alignment/>
      <protection/>
    </xf>
    <xf numFmtId="0" fontId="0" fillId="0" borderId="20" xfId="61" applyFont="1" applyFill="1" applyBorder="1">
      <alignment/>
      <protection/>
    </xf>
    <xf numFmtId="3" fontId="0" fillId="0" borderId="52" xfId="0" applyNumberFormat="1" applyBorder="1" applyAlignment="1">
      <alignment/>
    </xf>
    <xf numFmtId="2" fontId="0" fillId="0" borderId="74" xfId="61" applyNumberFormat="1" applyBorder="1">
      <alignment/>
      <protection/>
    </xf>
    <xf numFmtId="0" fontId="1" fillId="0" borderId="23" xfId="61" applyFont="1" applyBorder="1">
      <alignment/>
      <protection/>
    </xf>
    <xf numFmtId="3" fontId="1" fillId="0" borderId="65" xfId="61" applyNumberFormat="1" applyFont="1" applyFill="1" applyBorder="1">
      <alignment/>
      <protection/>
    </xf>
    <xf numFmtId="2" fontId="1" fillId="0" borderId="73" xfId="61" applyNumberFormat="1" applyFont="1" applyBorder="1">
      <alignment/>
      <protection/>
    </xf>
    <xf numFmtId="0" fontId="1" fillId="0" borderId="92" xfId="61" applyFont="1" applyBorder="1">
      <alignment/>
      <protection/>
    </xf>
    <xf numFmtId="3" fontId="1" fillId="0" borderId="38" xfId="61" applyNumberFormat="1" applyFont="1" applyBorder="1" applyAlignment="1">
      <alignment horizontal="right"/>
      <protection/>
    </xf>
    <xf numFmtId="3" fontId="1" fillId="0" borderId="27" xfId="61" applyNumberFormat="1" applyFont="1" applyBorder="1" applyAlignment="1">
      <alignment horizontal="right"/>
      <protection/>
    </xf>
    <xf numFmtId="3" fontId="1" fillId="0" borderId="26" xfId="61" applyNumberFormat="1" applyFont="1" applyFill="1" applyBorder="1" applyAlignment="1">
      <alignment horizontal="right"/>
      <protection/>
    </xf>
    <xf numFmtId="4" fontId="1" fillId="0" borderId="99" xfId="61" applyNumberFormat="1" applyFont="1" applyBorder="1" applyAlignment="1">
      <alignment horizontal="right"/>
      <protection/>
    </xf>
    <xf numFmtId="4" fontId="1" fillId="0" borderId="27" xfId="61" applyNumberFormat="1" applyFont="1" applyBorder="1">
      <alignment/>
      <protection/>
    </xf>
    <xf numFmtId="0" fontId="5" fillId="45" borderId="20" xfId="61" applyFont="1" applyFill="1" applyBorder="1">
      <alignment/>
      <protection/>
    </xf>
    <xf numFmtId="3" fontId="5" fillId="45" borderId="21" xfId="61" applyNumberFormat="1" applyFont="1" applyFill="1" applyBorder="1">
      <alignment/>
      <protection/>
    </xf>
    <xf numFmtId="3" fontId="5" fillId="45" borderId="52" xfId="61" applyNumberFormat="1" applyFont="1" applyFill="1" applyBorder="1">
      <alignment/>
      <protection/>
    </xf>
    <xf numFmtId="3" fontId="67" fillId="44" borderId="52" xfId="61" applyNumberFormat="1" applyFont="1" applyFill="1" applyBorder="1">
      <alignment/>
      <protection/>
    </xf>
    <xf numFmtId="4" fontId="67" fillId="44" borderId="74" xfId="61" applyNumberFormat="1" applyFont="1" applyFill="1" applyBorder="1">
      <alignment/>
      <protection/>
    </xf>
    <xf numFmtId="0" fontId="1" fillId="0" borderId="0" xfId="61" applyFont="1" applyFill="1" applyAlignment="1">
      <alignment horizontal="right" vertical="top"/>
      <protection/>
    </xf>
    <xf numFmtId="0" fontId="1" fillId="0" borderId="92" xfId="61" applyFont="1" applyBorder="1" applyAlignment="1">
      <alignment wrapText="1"/>
      <protection/>
    </xf>
    <xf numFmtId="3" fontId="1" fillId="0" borderId="38" xfId="61" applyNumberFormat="1" applyFont="1" applyBorder="1">
      <alignment/>
      <protection/>
    </xf>
    <xf numFmtId="3" fontId="1" fillId="5" borderId="27" xfId="61" applyNumberFormat="1" applyFont="1" applyFill="1" applyBorder="1">
      <alignment/>
      <protection/>
    </xf>
    <xf numFmtId="4" fontId="1" fillId="0" borderId="99" xfId="61" applyNumberFormat="1" applyFont="1" applyBorder="1">
      <alignment/>
      <protection/>
    </xf>
    <xf numFmtId="2" fontId="0" fillId="0" borderId="0" xfId="61" applyNumberFormat="1">
      <alignment/>
      <protection/>
    </xf>
    <xf numFmtId="4" fontId="0" fillId="0" borderId="0" xfId="61" applyNumberFormat="1">
      <alignment/>
      <protection/>
    </xf>
    <xf numFmtId="0" fontId="2" fillId="0" borderId="0" xfId="61" applyFont="1">
      <alignment/>
      <protection/>
    </xf>
    <xf numFmtId="0" fontId="9" fillId="0" borderId="19" xfId="61" applyFont="1" applyBorder="1">
      <alignment/>
      <protection/>
    </xf>
    <xf numFmtId="0" fontId="0" fillId="3" borderId="20" xfId="61" applyFont="1" applyFill="1" applyBorder="1" applyAlignment="1">
      <alignment wrapText="1"/>
      <protection/>
    </xf>
    <xf numFmtId="0" fontId="1" fillId="35" borderId="69" xfId="61" applyFont="1" applyFill="1" applyBorder="1">
      <alignment/>
      <protection/>
    </xf>
    <xf numFmtId="3" fontId="1" fillId="35" borderId="17" xfId="61" applyNumberFormat="1" applyFont="1" applyFill="1" applyBorder="1">
      <alignment/>
      <protection/>
    </xf>
    <xf numFmtId="3" fontId="1" fillId="35" borderId="80" xfId="61" applyNumberFormat="1" applyFont="1" applyFill="1" applyBorder="1">
      <alignment/>
      <protection/>
    </xf>
    <xf numFmtId="2" fontId="1" fillId="35" borderId="76" xfId="61" applyNumberFormat="1" applyFont="1" applyFill="1" applyBorder="1">
      <alignment/>
      <protection/>
    </xf>
    <xf numFmtId="0" fontId="0" fillId="0" borderId="19" xfId="61" applyFont="1" applyFill="1" applyBorder="1" applyAlignment="1">
      <alignment wrapText="1"/>
      <protection/>
    </xf>
    <xf numFmtId="0" fontId="1" fillId="43" borderId="20" xfId="61" applyFont="1" applyFill="1" applyBorder="1" applyAlignment="1">
      <alignment wrapText="1"/>
      <protection/>
    </xf>
    <xf numFmtId="3" fontId="1" fillId="43" borderId="21" xfId="61" applyNumberFormat="1" applyFont="1" applyFill="1" applyBorder="1">
      <alignment/>
      <protection/>
    </xf>
    <xf numFmtId="3" fontId="1" fillId="43" borderId="52" xfId="61" applyNumberFormat="1" applyFont="1" applyFill="1" applyBorder="1">
      <alignment/>
      <protection/>
    </xf>
    <xf numFmtId="2" fontId="1" fillId="43" borderId="74" xfId="61" applyNumberFormat="1" applyFont="1" applyFill="1" applyBorder="1">
      <alignment/>
      <protection/>
    </xf>
    <xf numFmtId="0" fontId="1" fillId="0" borderId="24" xfId="61" applyFont="1" applyFill="1" applyBorder="1">
      <alignment/>
      <protection/>
    </xf>
    <xf numFmtId="3" fontId="1" fillId="0" borderId="21" xfId="61" applyNumberFormat="1" applyFont="1" applyFill="1" applyBorder="1">
      <alignment/>
      <protection/>
    </xf>
    <xf numFmtId="3" fontId="1" fillId="0" borderId="52" xfId="61" applyNumberFormat="1" applyFont="1" applyFill="1" applyBorder="1">
      <alignment/>
      <protection/>
    </xf>
    <xf numFmtId="2" fontId="1" fillId="0" borderId="74" xfId="61" applyNumberFormat="1" applyFont="1" applyFill="1" applyBorder="1">
      <alignment/>
      <protection/>
    </xf>
    <xf numFmtId="0" fontId="1" fillId="0" borderId="20" xfId="61" applyFont="1" applyFill="1" applyBorder="1" applyAlignment="1">
      <alignment wrapText="1"/>
      <protection/>
    </xf>
    <xf numFmtId="0" fontId="1" fillId="35" borderId="69" xfId="61" applyFont="1" applyFill="1" applyBorder="1" applyAlignment="1">
      <alignment wrapText="1"/>
      <protection/>
    </xf>
    <xf numFmtId="3" fontId="1" fillId="35" borderId="17" xfId="61" applyNumberFormat="1" applyFont="1" applyFill="1" applyBorder="1">
      <alignment/>
      <protection/>
    </xf>
    <xf numFmtId="0" fontId="0" fillId="0" borderId="32" xfId="61" applyFont="1" applyFill="1" applyBorder="1" applyAlignment="1">
      <alignment wrapText="1"/>
      <protection/>
    </xf>
    <xf numFmtId="3" fontId="0" fillId="0" borderId="107" xfId="61" applyNumberFormat="1" applyFont="1" applyFill="1" applyBorder="1">
      <alignment/>
      <protection/>
    </xf>
    <xf numFmtId="3" fontId="0" fillId="0" borderId="14" xfId="61" applyNumberFormat="1" applyFont="1" applyFill="1" applyBorder="1">
      <alignment/>
      <protection/>
    </xf>
    <xf numFmtId="2" fontId="0" fillId="0" borderId="108" xfId="61" applyNumberFormat="1" applyFont="1" applyFill="1" applyBorder="1">
      <alignment/>
      <protection/>
    </xf>
    <xf numFmtId="0" fontId="0" fillId="0" borderId="109" xfId="61" applyFont="1" applyFill="1" applyBorder="1" applyAlignment="1">
      <alignment wrapText="1"/>
      <protection/>
    </xf>
    <xf numFmtId="0" fontId="1" fillId="15" borderId="0" xfId="61" applyFont="1" applyFill="1">
      <alignment/>
      <protection/>
    </xf>
    <xf numFmtId="0" fontId="9" fillId="0" borderId="68" xfId="61" applyFont="1" applyBorder="1">
      <alignment/>
      <protection/>
    </xf>
    <xf numFmtId="3" fontId="0" fillId="0" borderId="68" xfId="61" applyNumberFormat="1" applyFont="1" applyFill="1" applyBorder="1">
      <alignment/>
      <protection/>
    </xf>
    <xf numFmtId="3" fontId="0" fillId="0" borderId="12" xfId="61" applyNumberFormat="1" applyFont="1" applyFill="1" applyBorder="1">
      <alignment/>
      <protection/>
    </xf>
    <xf numFmtId="3" fontId="0" fillId="0" borderId="12" xfId="61" applyNumberFormat="1" applyFill="1" applyBorder="1">
      <alignment/>
      <protection/>
    </xf>
    <xf numFmtId="164" fontId="0" fillId="0" borderId="71" xfId="61" applyNumberFormat="1" applyFill="1" applyBorder="1">
      <alignment/>
      <protection/>
    </xf>
    <xf numFmtId="164" fontId="0" fillId="0" borderId="110" xfId="61" applyNumberFormat="1" applyFont="1" applyFill="1" applyBorder="1" applyAlignment="1">
      <alignment wrapText="1"/>
      <protection/>
    </xf>
    <xf numFmtId="3" fontId="0" fillId="0" borderId="20" xfId="61" applyNumberFormat="1" applyFont="1" applyFill="1" applyBorder="1">
      <alignment/>
      <protection/>
    </xf>
    <xf numFmtId="3" fontId="0" fillId="11" borderId="77" xfId="61" applyNumberFormat="1" applyFont="1" applyFill="1" applyBorder="1">
      <alignment/>
      <protection/>
    </xf>
    <xf numFmtId="3" fontId="0" fillId="0" borderId="24" xfId="61" applyNumberFormat="1" applyFont="1" applyFill="1" applyBorder="1">
      <alignment/>
      <protection/>
    </xf>
    <xf numFmtId="3" fontId="1" fillId="0" borderId="69" xfId="61" applyNumberFormat="1" applyFont="1" applyFill="1" applyBorder="1">
      <alignment/>
      <protection/>
    </xf>
    <xf numFmtId="3" fontId="1" fillId="0" borderId="18" xfId="61" applyNumberFormat="1" applyFont="1" applyFill="1" applyBorder="1">
      <alignment/>
      <protection/>
    </xf>
    <xf numFmtId="3" fontId="0" fillId="0" borderId="19" xfId="61" applyNumberFormat="1" applyFont="1" applyFill="1" applyBorder="1">
      <alignment/>
      <protection/>
    </xf>
    <xf numFmtId="3" fontId="0" fillId="0" borderId="16" xfId="61" applyNumberFormat="1" applyFont="1" applyFill="1" applyBorder="1">
      <alignment/>
      <protection/>
    </xf>
    <xf numFmtId="3" fontId="0" fillId="0" borderId="16" xfId="61" applyNumberFormat="1" applyFill="1" applyBorder="1">
      <alignment/>
      <protection/>
    </xf>
    <xf numFmtId="3" fontId="0" fillId="0" borderId="58" xfId="61" applyNumberFormat="1" applyFont="1" applyBorder="1">
      <alignment/>
      <protection/>
    </xf>
    <xf numFmtId="0" fontId="1" fillId="15" borderId="69" xfId="61" applyFont="1" applyFill="1" applyBorder="1" applyAlignment="1">
      <alignment wrapText="1"/>
      <protection/>
    </xf>
    <xf numFmtId="3" fontId="1" fillId="0" borderId="80" xfId="61" applyNumberFormat="1" applyFont="1" applyBorder="1">
      <alignment/>
      <protection/>
    </xf>
    <xf numFmtId="3" fontId="1" fillId="0" borderId="18" xfId="65" applyNumberFormat="1" applyFont="1" applyFill="1" applyBorder="1">
      <alignment/>
      <protection/>
    </xf>
    <xf numFmtId="0" fontId="0" fillId="0" borderId="21" xfId="0" applyFont="1" applyFill="1" applyBorder="1" applyAlignment="1">
      <alignment/>
    </xf>
    <xf numFmtId="0" fontId="1" fillId="15" borderId="40" xfId="61" applyFont="1" applyFill="1" applyBorder="1" applyAlignment="1">
      <alignment wrapText="1"/>
      <protection/>
    </xf>
    <xf numFmtId="3" fontId="1" fillId="0" borderId="111" xfId="61" applyNumberFormat="1" applyFont="1" applyFill="1" applyBorder="1">
      <alignment/>
      <protection/>
    </xf>
    <xf numFmtId="3" fontId="1" fillId="0" borderId="112" xfId="61" applyNumberFormat="1" applyFont="1" applyFill="1" applyBorder="1">
      <alignment/>
      <protection/>
    </xf>
    <xf numFmtId="3" fontId="1" fillId="0" borderId="112" xfId="61" applyNumberFormat="1" applyFont="1" applyBorder="1">
      <alignment/>
      <protection/>
    </xf>
    <xf numFmtId="2" fontId="1" fillId="0" borderId="113" xfId="61" applyNumberFormat="1" applyFont="1" applyFill="1" applyBorder="1">
      <alignment/>
      <protection/>
    </xf>
    <xf numFmtId="0" fontId="9" fillId="0" borderId="20" xfId="61" applyFont="1" applyFill="1" applyBorder="1">
      <alignment/>
      <protection/>
    </xf>
    <xf numFmtId="3" fontId="1" fillId="15" borderId="69" xfId="61" applyNumberFormat="1" applyFont="1" applyFill="1" applyBorder="1">
      <alignment/>
      <protection/>
    </xf>
    <xf numFmtId="3" fontId="1" fillId="15" borderId="18" xfId="61" applyNumberFormat="1" applyFont="1" applyFill="1" applyBorder="1">
      <alignment/>
      <protection/>
    </xf>
    <xf numFmtId="2" fontId="1" fillId="15" borderId="76" xfId="61" applyNumberFormat="1" applyFont="1" applyFill="1" applyBorder="1">
      <alignment/>
      <protection/>
    </xf>
    <xf numFmtId="0" fontId="1" fillId="0" borderId="20" xfId="60" applyFont="1" applyFill="1" applyBorder="1" applyAlignment="1">
      <alignment wrapText="1"/>
      <protection/>
    </xf>
    <xf numFmtId="0" fontId="0" fillId="0" borderId="20" xfId="61" applyFont="1" applyFill="1" applyBorder="1">
      <alignment/>
      <protection/>
    </xf>
    <xf numFmtId="0" fontId="0" fillId="0" borderId="20" xfId="61" applyFont="1" applyFill="1" applyBorder="1" applyAlignment="1">
      <alignment wrapText="1" shrinkToFit="1"/>
      <protection/>
    </xf>
    <xf numFmtId="0" fontId="0" fillId="0" borderId="36" xfId="61" applyFont="1" applyFill="1" applyBorder="1">
      <alignment/>
      <protection/>
    </xf>
    <xf numFmtId="3" fontId="0" fillId="0" borderId="63" xfId="0" applyNumberFormat="1" applyFill="1" applyBorder="1" applyAlignment="1">
      <alignment/>
    </xf>
    <xf numFmtId="3" fontId="1" fillId="0" borderId="19" xfId="61" applyNumberFormat="1" applyFont="1" applyFill="1" applyBorder="1">
      <alignment/>
      <protection/>
    </xf>
    <xf numFmtId="0" fontId="1" fillId="0" borderId="19" xfId="61" applyFont="1" applyFill="1" applyBorder="1" applyAlignment="1">
      <alignment wrapText="1"/>
      <protection/>
    </xf>
    <xf numFmtId="0" fontId="1" fillId="0" borderId="114" xfId="61" applyFont="1" applyFill="1" applyBorder="1">
      <alignment/>
      <protection/>
    </xf>
    <xf numFmtId="3" fontId="1" fillId="0" borderId="115" xfId="61" applyNumberFormat="1" applyFont="1" applyFill="1" applyBorder="1">
      <alignment/>
      <protection/>
    </xf>
    <xf numFmtId="3" fontId="1" fillId="0" borderId="116" xfId="61" applyNumberFormat="1" applyFont="1" applyFill="1" applyBorder="1">
      <alignment/>
      <protection/>
    </xf>
    <xf numFmtId="2" fontId="1" fillId="0" borderId="117" xfId="61" applyNumberFormat="1" applyFont="1" applyFill="1" applyBorder="1">
      <alignment/>
      <protection/>
    </xf>
    <xf numFmtId="0" fontId="0" fillId="0" borderId="24" xfId="61" applyFont="1" applyFill="1" applyBorder="1" applyAlignment="1">
      <alignment wrapText="1"/>
      <protection/>
    </xf>
    <xf numFmtId="2" fontId="0" fillId="0" borderId="74" xfId="61" applyNumberFormat="1" applyFont="1" applyFill="1" applyBorder="1">
      <alignment/>
      <protection/>
    </xf>
    <xf numFmtId="0" fontId="1" fillId="0" borderId="0" xfId="61" applyFont="1" applyBorder="1" applyAlignment="1">
      <alignment wrapText="1"/>
      <protection/>
    </xf>
    <xf numFmtId="3" fontId="1" fillId="0" borderId="0" xfId="61" applyNumberFormat="1" applyFont="1" applyBorder="1">
      <alignment/>
      <protection/>
    </xf>
    <xf numFmtId="4" fontId="1" fillId="0" borderId="0" xfId="61" applyNumberFormat="1" applyFont="1" applyBorder="1">
      <alignment/>
      <protection/>
    </xf>
    <xf numFmtId="0" fontId="1" fillId="4" borderId="92" xfId="61" applyFont="1" applyFill="1" applyBorder="1" applyAlignment="1">
      <alignment wrapText="1"/>
      <protection/>
    </xf>
    <xf numFmtId="3" fontId="1" fillId="4" borderId="38" xfId="61" applyNumberFormat="1" applyFont="1" applyFill="1" applyBorder="1">
      <alignment/>
      <protection/>
    </xf>
    <xf numFmtId="3" fontId="1" fillId="4" borderId="27" xfId="61" applyNumberFormat="1" applyFont="1" applyFill="1" applyBorder="1">
      <alignment/>
      <protection/>
    </xf>
    <xf numFmtId="2" fontId="1" fillId="4" borderId="99" xfId="61" applyNumberFormat="1" applyFont="1" applyFill="1" applyBorder="1">
      <alignment/>
      <protection/>
    </xf>
    <xf numFmtId="164" fontId="1" fillId="4" borderId="104" xfId="61" applyNumberFormat="1" applyFont="1" applyFill="1" applyBorder="1" applyAlignment="1">
      <alignment wrapText="1"/>
      <protection/>
    </xf>
    <xf numFmtId="0" fontId="0" fillId="6" borderId="21" xfId="61" applyFont="1" applyFill="1" applyBorder="1">
      <alignment/>
      <protection/>
    </xf>
    <xf numFmtId="0" fontId="0" fillId="6" borderId="66" xfId="61" applyFont="1" applyFill="1" applyBorder="1" applyAlignment="1">
      <alignment wrapText="1"/>
      <protection/>
    </xf>
    <xf numFmtId="3" fontId="0" fillId="6" borderId="21" xfId="61" applyNumberFormat="1" applyFont="1" applyFill="1" applyBorder="1">
      <alignment/>
      <protection/>
    </xf>
    <xf numFmtId="3" fontId="0" fillId="6" borderId="52" xfId="61" applyNumberFormat="1" applyFont="1" applyFill="1" applyBorder="1">
      <alignment/>
      <protection/>
    </xf>
    <xf numFmtId="3" fontId="0" fillId="6" borderId="77" xfId="65" applyNumberFormat="1" applyFill="1" applyBorder="1">
      <alignment/>
      <protection/>
    </xf>
    <xf numFmtId="3" fontId="0" fillId="6" borderId="52" xfId="65" applyNumberFormat="1" applyFill="1" applyBorder="1">
      <alignment/>
      <protection/>
    </xf>
    <xf numFmtId="2" fontId="0" fillId="6" borderId="74" xfId="61" applyNumberFormat="1" applyFill="1" applyBorder="1">
      <alignment/>
      <protection/>
    </xf>
    <xf numFmtId="164" fontId="0" fillId="6" borderId="74" xfId="61" applyNumberFormat="1" applyFill="1" applyBorder="1">
      <alignment/>
      <protection/>
    </xf>
    <xf numFmtId="0" fontId="2" fillId="0" borderId="19" xfId="61" applyFont="1" applyFill="1" applyBorder="1">
      <alignment/>
      <protection/>
    </xf>
    <xf numFmtId="0" fontId="0" fillId="0" borderId="0" xfId="60" applyBorder="1">
      <alignment/>
      <protection/>
    </xf>
    <xf numFmtId="0" fontId="1" fillId="0" borderId="89" xfId="61" applyFont="1" applyFill="1" applyBorder="1">
      <alignment/>
      <protection/>
    </xf>
    <xf numFmtId="3" fontId="1" fillId="0" borderId="11" xfId="61" applyNumberFormat="1" applyFont="1" applyFill="1" applyBorder="1">
      <alignment/>
      <protection/>
    </xf>
    <xf numFmtId="3" fontId="1" fillId="0" borderId="55" xfId="61" applyNumberFormat="1" applyFont="1" applyFill="1" applyBorder="1">
      <alignment/>
      <protection/>
    </xf>
    <xf numFmtId="2" fontId="1" fillId="0" borderId="71" xfId="61" applyNumberFormat="1" applyFont="1" applyFill="1" applyBorder="1">
      <alignment/>
      <protection/>
    </xf>
    <xf numFmtId="3" fontId="1" fillId="0" borderId="56" xfId="61" applyNumberFormat="1" applyFont="1" applyFill="1" applyBorder="1">
      <alignment/>
      <protection/>
    </xf>
    <xf numFmtId="0" fontId="0" fillId="0" borderId="110" xfId="61" applyBorder="1">
      <alignment/>
      <protection/>
    </xf>
    <xf numFmtId="0" fontId="0" fillId="0" borderId="100" xfId="61" applyFont="1" applyBorder="1" applyAlignment="1">
      <alignment horizontal="center"/>
      <protection/>
    </xf>
    <xf numFmtId="0" fontId="0" fillId="0" borderId="100" xfId="61" applyFont="1" applyBorder="1">
      <alignment/>
      <protection/>
    </xf>
    <xf numFmtId="0" fontId="0" fillId="0" borderId="101" xfId="61" applyBorder="1">
      <alignment/>
      <protection/>
    </xf>
    <xf numFmtId="0" fontId="0" fillId="0" borderId="19" xfId="0" applyBorder="1" applyAlignment="1">
      <alignment/>
    </xf>
    <xf numFmtId="3" fontId="1" fillId="0" borderId="38" xfId="61" applyNumberFormat="1" applyFont="1" applyFill="1" applyBorder="1">
      <alignment/>
      <protection/>
    </xf>
    <xf numFmtId="0" fontId="9" fillId="0" borderId="40" xfId="61" applyFont="1" applyFill="1" applyBorder="1">
      <alignment/>
      <protection/>
    </xf>
    <xf numFmtId="3" fontId="1" fillId="0" borderId="111" xfId="61" applyNumberFormat="1" applyFont="1" applyFill="1" applyBorder="1" applyAlignment="1">
      <alignment horizontal="right"/>
      <protection/>
    </xf>
    <xf numFmtId="3" fontId="1" fillId="0" borderId="112" xfId="61" applyNumberFormat="1" applyFont="1" applyFill="1" applyBorder="1" applyAlignment="1">
      <alignment horizontal="right"/>
      <protection/>
    </xf>
    <xf numFmtId="3" fontId="1" fillId="0" borderId="43" xfId="61" applyNumberFormat="1" applyFont="1" applyFill="1" applyBorder="1" applyAlignment="1">
      <alignment horizontal="right"/>
      <protection/>
    </xf>
    <xf numFmtId="4" fontId="1" fillId="0" borderId="113" xfId="61" applyNumberFormat="1" applyFont="1" applyFill="1" applyBorder="1" applyAlignment="1">
      <alignment horizontal="right"/>
      <protection/>
    </xf>
    <xf numFmtId="0" fontId="0" fillId="7" borderId="20" xfId="61" applyFont="1" applyFill="1" applyBorder="1" applyAlignment="1">
      <alignment wrapText="1"/>
      <protection/>
    </xf>
    <xf numFmtId="3" fontId="0" fillId="7" borderId="21" xfId="61" applyNumberFormat="1" applyFont="1" applyFill="1" applyBorder="1">
      <alignment/>
      <protection/>
    </xf>
    <xf numFmtId="3" fontId="0" fillId="7" borderId="52" xfId="61" applyNumberFormat="1" applyFont="1" applyFill="1" applyBorder="1">
      <alignment/>
      <protection/>
    </xf>
    <xf numFmtId="3" fontId="0" fillId="7" borderId="52" xfId="61" applyNumberFormat="1" applyFill="1" applyBorder="1">
      <alignment/>
      <protection/>
    </xf>
    <xf numFmtId="2" fontId="0" fillId="7" borderId="74" xfId="61" applyNumberFormat="1" applyFill="1" applyBorder="1">
      <alignment/>
      <protection/>
    </xf>
    <xf numFmtId="4" fontId="1" fillId="41" borderId="42" xfId="61" applyNumberFormat="1" applyFont="1" applyFill="1" applyBorder="1">
      <alignment/>
      <protection/>
    </xf>
    <xf numFmtId="164" fontId="1" fillId="0" borderId="60" xfId="60" applyNumberFormat="1" applyFont="1" applyFill="1" applyBorder="1" applyAlignment="1">
      <alignment wrapText="1"/>
      <protection/>
    </xf>
    <xf numFmtId="0" fontId="1" fillId="0" borderId="40" xfId="60" applyFont="1" applyFill="1" applyBorder="1" applyAlignment="1">
      <alignment wrapText="1"/>
      <protection/>
    </xf>
    <xf numFmtId="3" fontId="1" fillId="0" borderId="111" xfId="60" applyNumberFormat="1" applyFont="1" applyFill="1" applyBorder="1">
      <alignment/>
      <protection/>
    </xf>
    <xf numFmtId="3" fontId="1" fillId="0" borderId="112" xfId="60" applyNumberFormat="1" applyFont="1" applyFill="1" applyBorder="1">
      <alignment/>
      <protection/>
    </xf>
    <xf numFmtId="164" fontId="1" fillId="0" borderId="42" xfId="60" applyNumberFormat="1" applyFont="1" applyFill="1" applyBorder="1" applyAlignment="1">
      <alignment wrapText="1"/>
      <protection/>
    </xf>
    <xf numFmtId="3" fontId="0" fillId="0" borderId="16" xfId="0" applyNumberFormat="1" applyFill="1" applyBorder="1" applyAlignment="1">
      <alignment/>
    </xf>
    <xf numFmtId="3" fontId="25" fillId="0" borderId="63" xfId="0" applyNumberFormat="1" applyFont="1" applyFill="1" applyBorder="1" applyAlignment="1">
      <alignment/>
    </xf>
    <xf numFmtId="3" fontId="0" fillId="0" borderId="66" xfId="61" applyNumberFormat="1" applyBorder="1" applyAlignment="1">
      <alignment horizontal="right"/>
      <protection/>
    </xf>
    <xf numFmtId="0" fontId="1" fillId="0" borderId="19" xfId="61" applyFont="1" applyBorder="1">
      <alignment/>
      <protection/>
    </xf>
    <xf numFmtId="2" fontId="0" fillId="0" borderId="54" xfId="60" applyNumberFormat="1" applyFill="1" applyBorder="1">
      <alignment/>
      <protection/>
    </xf>
    <xf numFmtId="0" fontId="0" fillId="0" borderId="21" xfId="63" applyFont="1" applyBorder="1" applyAlignment="1">
      <alignment horizontal="left"/>
      <protection/>
    </xf>
    <xf numFmtId="3" fontId="1" fillId="35" borderId="47" xfId="60" applyNumberFormat="1" applyFont="1" applyFill="1" applyBorder="1">
      <alignment/>
      <protection/>
    </xf>
    <xf numFmtId="3" fontId="1" fillId="35" borderId="78" xfId="60" applyNumberFormat="1" applyFont="1" applyFill="1" applyBorder="1">
      <alignment/>
      <protection/>
    </xf>
    <xf numFmtId="2" fontId="1" fillId="35" borderId="53" xfId="60" applyNumberFormat="1" applyFont="1" applyFill="1" applyBorder="1">
      <alignment/>
      <protection/>
    </xf>
    <xf numFmtId="2" fontId="1" fillId="0" borderId="113" xfId="60" applyNumberFormat="1" applyFont="1" applyFill="1" applyBorder="1">
      <alignment/>
      <protection/>
    </xf>
    <xf numFmtId="2" fontId="0" fillId="0" borderId="87" xfId="60" applyNumberFormat="1" applyFill="1" applyBorder="1">
      <alignment/>
      <protection/>
    </xf>
    <xf numFmtId="3" fontId="0" fillId="0" borderId="66" xfId="60" applyNumberFormat="1" applyFont="1" applyFill="1" applyBorder="1">
      <alignment/>
      <protection/>
    </xf>
    <xf numFmtId="3" fontId="0" fillId="0" borderId="58" xfId="60" applyNumberFormat="1" applyFont="1" applyFill="1" applyBorder="1">
      <alignment/>
      <protection/>
    </xf>
    <xf numFmtId="2" fontId="0" fillId="0" borderId="87" xfId="60" applyNumberFormat="1" applyFont="1" applyFill="1" applyBorder="1">
      <alignment/>
      <protection/>
    </xf>
    <xf numFmtId="0" fontId="1" fillId="0" borderId="60" xfId="60" applyFont="1" applyFill="1" applyBorder="1" applyAlignment="1">
      <alignment wrapText="1"/>
      <protection/>
    </xf>
    <xf numFmtId="4" fontId="1" fillId="0" borderId="112" xfId="61" applyNumberFormat="1" applyFont="1" applyBorder="1">
      <alignment/>
      <protection/>
    </xf>
    <xf numFmtId="3" fontId="0" fillId="0" borderId="63" xfId="60" applyNumberFormat="1" applyFont="1" applyFill="1" applyBorder="1">
      <alignment/>
      <protection/>
    </xf>
    <xf numFmtId="164" fontId="0" fillId="0" borderId="36" xfId="60" applyNumberFormat="1" applyFont="1" applyFill="1" applyBorder="1" applyAlignment="1">
      <alignment wrapText="1"/>
      <protection/>
    </xf>
    <xf numFmtId="164" fontId="0" fillId="0" borderId="28" xfId="60" applyNumberFormat="1" applyFont="1" applyFill="1" applyBorder="1" applyAlignment="1">
      <alignment wrapText="1"/>
      <protection/>
    </xf>
    <xf numFmtId="0" fontId="1" fillId="0" borderId="0" xfId="61" applyFont="1" applyFill="1" applyBorder="1" applyAlignment="1">
      <alignment wrapText="1"/>
      <protection/>
    </xf>
    <xf numFmtId="2" fontId="1" fillId="0" borderId="0" xfId="61" applyNumberFormat="1" applyFont="1" applyFill="1" applyBorder="1">
      <alignment/>
      <protection/>
    </xf>
    <xf numFmtId="164" fontId="1" fillId="0" borderId="0" xfId="61" applyNumberFormat="1" applyFont="1" applyFill="1" applyBorder="1" applyAlignment="1">
      <alignment wrapText="1"/>
      <protection/>
    </xf>
    <xf numFmtId="0" fontId="0" fillId="0" borderId="60" xfId="61" applyBorder="1">
      <alignment/>
      <protection/>
    </xf>
    <xf numFmtId="0" fontId="0" fillId="0" borderId="61" xfId="61" applyBorder="1">
      <alignment/>
      <protection/>
    </xf>
    <xf numFmtId="0" fontId="0" fillId="0" borderId="61" xfId="61" applyFont="1" applyFill="1" applyBorder="1">
      <alignment/>
      <protection/>
    </xf>
    <xf numFmtId="2" fontId="0" fillId="0" borderId="37" xfId="61" applyNumberFormat="1" applyBorder="1">
      <alignment/>
      <protection/>
    </xf>
    <xf numFmtId="2" fontId="0" fillId="0" borderId="61" xfId="61" applyNumberFormat="1" applyBorder="1">
      <alignment/>
      <protection/>
    </xf>
    <xf numFmtId="2" fontId="0" fillId="0" borderId="61" xfId="61" applyNumberFormat="1" applyFont="1" applyBorder="1">
      <alignment/>
      <protection/>
    </xf>
    <xf numFmtId="3" fontId="0" fillId="0" borderId="61" xfId="58" applyNumberFormat="1" applyBorder="1">
      <alignment/>
      <protection/>
    </xf>
    <xf numFmtId="2" fontId="0" fillId="0" borderId="37" xfId="61" applyNumberFormat="1" applyFont="1" applyBorder="1">
      <alignment/>
      <protection/>
    </xf>
    <xf numFmtId="2" fontId="0" fillId="0" borderId="94" xfId="61" applyNumberFormat="1" applyBorder="1">
      <alignment/>
      <protection/>
    </xf>
    <xf numFmtId="164" fontId="0" fillId="0" borderId="39" xfId="61" applyNumberFormat="1" applyFont="1" applyFill="1" applyBorder="1" applyAlignment="1">
      <alignment wrapText="1"/>
      <protection/>
    </xf>
    <xf numFmtId="164" fontId="0" fillId="0" borderId="39" xfId="61" applyNumberFormat="1" applyFont="1" applyFill="1" applyBorder="1" applyAlignment="1">
      <alignment wrapText="1"/>
      <protection/>
    </xf>
    <xf numFmtId="164" fontId="0" fillId="0" borderId="36" xfId="61" applyNumberFormat="1" applyFont="1" applyFill="1" applyBorder="1" applyAlignment="1">
      <alignment wrapText="1"/>
      <protection/>
    </xf>
    <xf numFmtId="164" fontId="1" fillId="0" borderId="60" xfId="61" applyNumberFormat="1" applyFont="1" applyFill="1" applyBorder="1">
      <alignment/>
      <protection/>
    </xf>
    <xf numFmtId="164" fontId="1" fillId="0" borderId="61" xfId="61" applyNumberFormat="1" applyFont="1" applyFill="1" applyBorder="1">
      <alignment/>
      <protection/>
    </xf>
    <xf numFmtId="164" fontId="0" fillId="0" borderId="61" xfId="61" applyNumberFormat="1" applyFont="1" applyFill="1" applyBorder="1" applyAlignment="1">
      <alignment wrapText="1"/>
      <protection/>
    </xf>
    <xf numFmtId="164" fontId="0" fillId="0" borderId="36" xfId="61" applyNumberFormat="1" applyFont="1" applyFill="1" applyBorder="1" applyAlignment="1">
      <alignment wrapText="1"/>
      <protection/>
    </xf>
    <xf numFmtId="4" fontId="1" fillId="0" borderId="42" xfId="61" applyNumberFormat="1" applyFont="1" applyFill="1" applyBorder="1">
      <alignment/>
      <protection/>
    </xf>
    <xf numFmtId="164" fontId="1" fillId="0" borderId="60" xfId="61" applyNumberFormat="1" applyFont="1" applyFill="1" applyBorder="1" applyAlignment="1">
      <alignment wrapText="1"/>
      <protection/>
    </xf>
    <xf numFmtId="164" fontId="0" fillId="0" borderId="61" xfId="61" applyNumberFormat="1" applyFill="1" applyBorder="1">
      <alignment/>
      <protection/>
    </xf>
    <xf numFmtId="164" fontId="0" fillId="0" borderId="39" xfId="61" applyNumberFormat="1" applyFill="1" applyBorder="1">
      <alignment/>
      <protection/>
    </xf>
    <xf numFmtId="164" fontId="0" fillId="0" borderId="60" xfId="61" applyNumberFormat="1" applyFill="1" applyBorder="1">
      <alignment/>
      <protection/>
    </xf>
    <xf numFmtId="164" fontId="1" fillId="0" borderId="28" xfId="61" applyNumberFormat="1" applyFont="1" applyFill="1" applyBorder="1">
      <alignment/>
      <protection/>
    </xf>
    <xf numFmtId="164" fontId="0" fillId="0" borderId="61" xfId="61" applyNumberFormat="1" applyFont="1" applyFill="1" applyBorder="1">
      <alignment/>
      <protection/>
    </xf>
    <xf numFmtId="164" fontId="0" fillId="0" borderId="39" xfId="61" applyNumberFormat="1" applyFont="1" applyFill="1" applyBorder="1">
      <alignment/>
      <protection/>
    </xf>
    <xf numFmtId="2" fontId="0" fillId="0" borderId="36" xfId="61" applyNumberFormat="1" applyFont="1" applyFill="1" applyBorder="1" applyAlignment="1">
      <alignment wrapText="1"/>
      <protection/>
    </xf>
    <xf numFmtId="2" fontId="0" fillId="0" borderId="39" xfId="61" applyNumberFormat="1" applyFont="1" applyBorder="1" applyAlignment="1">
      <alignment wrapText="1"/>
      <protection/>
    </xf>
    <xf numFmtId="164" fontId="0" fillId="0" borderId="39" xfId="61" applyNumberFormat="1" applyFont="1" applyFill="1" applyBorder="1">
      <alignment/>
      <protection/>
    </xf>
    <xf numFmtId="164" fontId="0" fillId="3" borderId="36" xfId="61" applyNumberFormat="1" applyFont="1" applyFill="1" applyBorder="1" applyAlignment="1">
      <alignment wrapText="1"/>
      <protection/>
    </xf>
    <xf numFmtId="164" fontId="0" fillId="0" borderId="37" xfId="61" applyNumberFormat="1" applyBorder="1">
      <alignment/>
      <protection/>
    </xf>
    <xf numFmtId="4" fontId="1" fillId="0" borderId="28" xfId="61" applyNumberFormat="1" applyFont="1" applyBorder="1">
      <alignment/>
      <protection/>
    </xf>
    <xf numFmtId="4" fontId="5" fillId="44" borderId="39" xfId="61" applyNumberFormat="1" applyFont="1" applyFill="1" applyBorder="1">
      <alignment/>
      <protection/>
    </xf>
    <xf numFmtId="164" fontId="0" fillId="3" borderId="39" xfId="61" applyNumberFormat="1" applyFont="1" applyFill="1" applyBorder="1" applyAlignment="1">
      <alignment wrapText="1"/>
      <protection/>
    </xf>
    <xf numFmtId="164" fontId="0" fillId="0" borderId="60" xfId="61" applyNumberFormat="1" applyFont="1" applyFill="1" applyBorder="1" applyAlignment="1">
      <alignment wrapText="1"/>
      <protection/>
    </xf>
    <xf numFmtId="164" fontId="1" fillId="0" borderId="61" xfId="61" applyNumberFormat="1" applyFont="1" applyFill="1" applyBorder="1" applyAlignment="1">
      <alignment wrapText="1"/>
      <protection/>
    </xf>
    <xf numFmtId="164" fontId="1" fillId="15" borderId="60" xfId="61" applyNumberFormat="1" applyFont="1" applyFill="1" applyBorder="1">
      <alignment/>
      <protection/>
    </xf>
    <xf numFmtId="164" fontId="1" fillId="0" borderId="118" xfId="61" applyNumberFormat="1" applyFont="1" applyFill="1" applyBorder="1">
      <alignment/>
      <protection/>
    </xf>
    <xf numFmtId="164" fontId="1" fillId="15" borderId="60" xfId="61" applyNumberFormat="1" applyFont="1" applyFill="1" applyBorder="1" applyAlignment="1">
      <alignment wrapText="1"/>
      <protection/>
    </xf>
    <xf numFmtId="164" fontId="0" fillId="0" borderId="89" xfId="61" applyNumberFormat="1" applyFont="1" applyFill="1" applyBorder="1" applyAlignment="1">
      <alignment wrapText="1"/>
      <protection/>
    </xf>
    <xf numFmtId="164" fontId="0" fillId="0" borderId="39" xfId="60" applyNumberFormat="1" applyFill="1" applyBorder="1">
      <alignment/>
      <protection/>
    </xf>
    <xf numFmtId="2" fontId="0" fillId="0" borderId="37" xfId="60" applyNumberFormat="1" applyFont="1" applyBorder="1">
      <alignment/>
      <protection/>
    </xf>
    <xf numFmtId="164" fontId="0" fillId="0" borderId="61" xfId="60" applyNumberFormat="1" applyFill="1" applyBorder="1">
      <alignment/>
      <protection/>
    </xf>
    <xf numFmtId="2" fontId="0" fillId="0" borderId="119" xfId="60" applyNumberFormat="1" applyBorder="1">
      <alignment/>
      <protection/>
    </xf>
    <xf numFmtId="3" fontId="1" fillId="0" borderId="103" xfId="61" applyNumberFormat="1" applyFont="1" applyBorder="1">
      <alignment/>
      <protection/>
    </xf>
    <xf numFmtId="164" fontId="0" fillId="0" borderId="97" xfId="61" applyNumberFormat="1" applyFont="1" applyFill="1" applyBorder="1">
      <alignment/>
      <protection/>
    </xf>
    <xf numFmtId="164" fontId="0" fillId="0" borderId="97" xfId="61" applyNumberFormat="1" applyFill="1" applyBorder="1">
      <alignment/>
      <protection/>
    </xf>
    <xf numFmtId="164" fontId="0" fillId="0" borderId="120" xfId="61" applyNumberFormat="1" applyBorder="1">
      <alignment/>
      <protection/>
    </xf>
    <xf numFmtId="4" fontId="1" fillId="0" borderId="104" xfId="61" applyNumberFormat="1" applyFont="1" applyBorder="1">
      <alignment/>
      <protection/>
    </xf>
    <xf numFmtId="4" fontId="5" fillId="44" borderId="97" xfId="61" applyNumberFormat="1" applyFont="1" applyFill="1" applyBorder="1">
      <alignment/>
      <protection/>
    </xf>
    <xf numFmtId="2" fontId="0" fillId="6" borderId="74" xfId="61" applyNumberFormat="1" applyFont="1" applyFill="1" applyBorder="1">
      <alignment/>
      <protection/>
    </xf>
    <xf numFmtId="0" fontId="0" fillId="0" borderId="121" xfId="0" applyFont="1" applyFill="1" applyBorder="1" applyAlignment="1">
      <alignment horizontal="center"/>
    </xf>
    <xf numFmtId="0" fontId="0" fillId="0" borderId="59" xfId="61" applyFont="1" applyFill="1" applyBorder="1" applyAlignment="1">
      <alignment horizontal="center" vertical="center" wrapText="1"/>
      <protection/>
    </xf>
    <xf numFmtId="0" fontId="0" fillId="0" borderId="77" xfId="0" applyFill="1" applyBorder="1" applyAlignment="1">
      <alignment horizontal="center" vertical="center" wrapText="1"/>
    </xf>
    <xf numFmtId="0" fontId="4" fillId="0" borderId="0" xfId="60" applyFont="1" applyAlignment="1">
      <alignment wrapText="1"/>
      <protection/>
    </xf>
    <xf numFmtId="0" fontId="0" fillId="0" borderId="0" xfId="0" applyAlignment="1">
      <alignment wrapText="1"/>
    </xf>
    <xf numFmtId="0" fontId="0" fillId="0" borderId="59" xfId="61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59" xfId="61" applyFont="1" applyBorder="1" applyAlignment="1">
      <alignment wrapText="1"/>
      <protection/>
    </xf>
    <xf numFmtId="0" fontId="0" fillId="0" borderId="16" xfId="0" applyBorder="1" applyAlignment="1">
      <alignment wrapText="1"/>
    </xf>
    <xf numFmtId="0" fontId="0" fillId="0" borderId="77" xfId="0" applyBorder="1" applyAlignment="1">
      <alignment wrapText="1"/>
    </xf>
    <xf numFmtId="164" fontId="1" fillId="35" borderId="89" xfId="61" applyNumberFormat="1" applyFont="1" applyFill="1" applyBorder="1" applyAlignment="1">
      <alignment horizontal="center" vertical="center" wrapText="1"/>
      <protection/>
    </xf>
    <xf numFmtId="0" fontId="0" fillId="0" borderId="61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45" borderId="89" xfId="0" applyFont="1" applyFill="1" applyBorder="1" applyAlignment="1">
      <alignment horizontal="center" wrapText="1"/>
    </xf>
    <xf numFmtId="0" fontId="0" fillId="45" borderId="61" xfId="0" applyFont="1" applyFill="1" applyBorder="1" applyAlignment="1">
      <alignment horizontal="center" wrapText="1"/>
    </xf>
    <xf numFmtId="0" fontId="0" fillId="0" borderId="122" xfId="0" applyFont="1" applyFill="1" applyBorder="1" applyAlignment="1">
      <alignment horizontal="center" vertical="center" wrapText="1"/>
    </xf>
    <xf numFmtId="0" fontId="0" fillId="0" borderId="123" xfId="0" applyFont="1" applyFill="1" applyBorder="1" applyAlignment="1">
      <alignment horizontal="center" vertical="center" wrapText="1"/>
    </xf>
    <xf numFmtId="0" fontId="0" fillId="0" borderId="124" xfId="0" applyFont="1" applyFill="1" applyBorder="1" applyAlignment="1">
      <alignment horizontal="center" vertical="center" wrapText="1"/>
    </xf>
    <xf numFmtId="0" fontId="0" fillId="0" borderId="59" xfId="60" applyFont="1" applyBorder="1" applyAlignment="1">
      <alignment horizontal="center" vertical="center" wrapText="1"/>
      <protection/>
    </xf>
    <xf numFmtId="0" fontId="0" fillId="0" borderId="59" xfId="60" applyFont="1" applyBorder="1" applyAlignment="1">
      <alignment wrapText="1"/>
      <protection/>
    </xf>
    <xf numFmtId="0" fontId="0" fillId="0" borderId="59" xfId="60" applyFont="1" applyFill="1" applyBorder="1" applyAlignment="1">
      <alignment horizontal="center" vertical="center" wrapText="1"/>
      <protection/>
    </xf>
    <xf numFmtId="0" fontId="2" fillId="0" borderId="0" xfId="60" applyFont="1" applyAlignment="1">
      <alignment wrapText="1"/>
      <protection/>
    </xf>
    <xf numFmtId="0" fontId="5" fillId="0" borderId="0" xfId="0" applyFont="1" applyAlignment="1">
      <alignment wrapText="1"/>
    </xf>
    <xf numFmtId="0" fontId="0" fillId="0" borderId="59" xfId="60" applyFont="1" applyBorder="1" applyAlignment="1">
      <alignment horizontal="center" vertical="center" wrapText="1"/>
      <protection/>
    </xf>
    <xf numFmtId="0" fontId="0" fillId="0" borderId="59" xfId="60" applyBorder="1" applyAlignment="1">
      <alignment horizontal="center" vertical="center"/>
      <protection/>
    </xf>
    <xf numFmtId="0" fontId="0" fillId="0" borderId="92" xfId="60" applyFont="1" applyBorder="1" applyAlignment="1">
      <alignment horizontal="center" vertical="center"/>
      <protection/>
    </xf>
    <xf numFmtId="0" fontId="0" fillId="0" borderId="91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1" fillId="46" borderId="125" xfId="60" applyFont="1" applyFill="1" applyBorder="1" applyAlignment="1">
      <alignment horizontal="center" vertical="center" textRotation="90"/>
      <protection/>
    </xf>
    <xf numFmtId="0" fontId="1" fillId="46" borderId="126" xfId="60" applyFont="1" applyFill="1" applyBorder="1" applyAlignment="1">
      <alignment horizontal="center" vertical="center" textRotation="90"/>
      <protection/>
    </xf>
    <xf numFmtId="0" fontId="0" fillId="0" borderId="19" xfId="60" applyFont="1" applyBorder="1" applyAlignment="1">
      <alignment wrapText="1"/>
      <protection/>
    </xf>
    <xf numFmtId="0" fontId="0" fillId="0" borderId="0" xfId="0" applyBorder="1" applyAlignment="1">
      <alignment wrapText="1"/>
    </xf>
    <xf numFmtId="0" fontId="1" fillId="46" borderId="125" xfId="60" applyFont="1" applyFill="1" applyBorder="1" applyAlignment="1">
      <alignment vertical="center" textRotation="90"/>
      <protection/>
    </xf>
    <xf numFmtId="0" fontId="1" fillId="46" borderId="127" xfId="60" applyFont="1" applyFill="1" applyBorder="1" applyAlignment="1">
      <alignment vertical="center" textRotation="90"/>
      <protection/>
    </xf>
    <xf numFmtId="0" fontId="0" fillId="0" borderId="128" xfId="60" applyBorder="1" applyAlignment="1">
      <alignment horizontal="center" vertical="center" textRotation="90"/>
      <protection/>
    </xf>
    <xf numFmtId="0" fontId="0" fillId="0" borderId="15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3" fillId="0" borderId="0" xfId="60" applyFont="1" applyAlignment="1">
      <alignment wrapText="1"/>
      <protection/>
    </xf>
    <xf numFmtId="0" fontId="11" fillId="0" borderId="0" xfId="0" applyFont="1" applyAlignment="1">
      <alignment wrapText="1"/>
    </xf>
    <xf numFmtId="0" fontId="1" fillId="46" borderId="129" xfId="60" applyFont="1" applyFill="1" applyBorder="1" applyAlignment="1">
      <alignment horizontal="center" vertical="center" textRotation="90"/>
      <protection/>
    </xf>
    <xf numFmtId="0" fontId="0" fillId="0" borderId="125" xfId="0" applyBorder="1" applyAlignment="1">
      <alignment horizontal="center" vertical="center" textRotation="90"/>
    </xf>
    <xf numFmtId="0" fontId="0" fillId="0" borderId="127" xfId="0" applyBorder="1" applyAlignment="1">
      <alignment horizontal="center" vertical="center" textRotation="90"/>
    </xf>
    <xf numFmtId="0" fontId="48" fillId="0" borderId="89" xfId="61" applyFont="1" applyBorder="1" applyAlignment="1">
      <alignment horizontal="center" vertical="center" wrapText="1" shrinkToFit="1"/>
      <protection/>
    </xf>
    <xf numFmtId="0" fontId="48" fillId="0" borderId="61" xfId="61" applyFont="1" applyBorder="1" applyAlignment="1">
      <alignment horizontal="center" vertical="center" wrapText="1" shrinkToFit="1"/>
      <protection/>
    </xf>
    <xf numFmtId="0" fontId="48" fillId="0" borderId="39" xfId="61" applyFont="1" applyBorder="1" applyAlignment="1">
      <alignment horizontal="center" vertical="center" wrapText="1" shrinkToFit="1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10" xfId="48"/>
    <cellStyle name="normální 2" xfId="49"/>
    <cellStyle name="normální 2 2" xfId="50"/>
    <cellStyle name="normální 3" xfId="51"/>
    <cellStyle name="normální 4" xfId="52"/>
    <cellStyle name="normální 5" xfId="53"/>
    <cellStyle name="normální 6" xfId="54"/>
    <cellStyle name="Normální 7" xfId="55"/>
    <cellStyle name="Normální 8" xfId="56"/>
    <cellStyle name="Normální 9" xfId="57"/>
    <cellStyle name="normální_bilance 2008" xfId="58"/>
    <cellStyle name="normální_PC2000 2" xfId="59"/>
    <cellStyle name="normální_pozadORG" xfId="60"/>
    <cellStyle name="normální_pozadORG 2" xfId="61"/>
    <cellStyle name="normální_Sešit1 2" xfId="62"/>
    <cellStyle name="normální_Sešit3_1" xfId="63"/>
    <cellStyle name="normální_T Fi sport a stsp" xfId="64"/>
    <cellStyle name="normální_Tabrozpis2000" xfId="65"/>
    <cellStyle name="Followed Hyperlink" xfId="66"/>
    <cellStyle name="Poznámka" xfId="67"/>
    <cellStyle name="Percent" xfId="68"/>
    <cellStyle name="Propojená buňka" xfId="69"/>
    <cellStyle name="Správ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Odd400\Schr&#225;nky\Zikl\Makra2000\Limit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dd400\Schr&#225;nky\Zikl\Makra2000\Limit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mitka"/>
    </sheetNames>
    <definedNames>
      <definedName name="Vloz_aktualni_nastaveni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mitka"/>
    </sheetNames>
    <definedNames>
      <definedName name="Vloz_aktualni_nastaveni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147"/>
  <sheetViews>
    <sheetView zoomScale="75" zoomScaleNormal="75" zoomScalePageLayoutView="0" workbookViewId="0" topLeftCell="A1">
      <pane xSplit="2" ySplit="9" topLeftCell="C7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90" sqref="J90"/>
    </sheetView>
  </sheetViews>
  <sheetFormatPr defaultColWidth="9.00390625" defaultRowHeight="12.75"/>
  <cols>
    <col min="1" max="1" width="2.00390625" style="2" customWidth="1"/>
    <col min="2" max="2" width="57.25390625" style="2" customWidth="1"/>
    <col min="3" max="3" width="13.375" style="2" customWidth="1"/>
    <col min="4" max="4" width="14.375" style="2" bestFit="1" customWidth="1"/>
    <col min="5" max="5" width="13.75390625" style="2" customWidth="1"/>
    <col min="6" max="6" width="11.75390625" style="2" customWidth="1"/>
    <col min="7" max="7" width="12.125" style="2" bestFit="1" customWidth="1"/>
    <col min="8" max="8" width="10.875" style="2" bestFit="1" customWidth="1"/>
    <col min="9" max="9" width="14.125" style="2" customWidth="1"/>
    <col min="10" max="10" width="7.75390625" style="2" customWidth="1"/>
    <col min="11" max="11" width="29.75390625" style="2" customWidth="1"/>
    <col min="12" max="12" width="11.125" style="2" bestFit="1" customWidth="1"/>
    <col min="13" max="14" width="10.375" style="2" bestFit="1" customWidth="1"/>
    <col min="15" max="16384" width="9.125" style="2" customWidth="1"/>
  </cols>
  <sheetData>
    <row r="1" ht="18">
      <c r="K1" s="56" t="s">
        <v>61</v>
      </c>
    </row>
    <row r="2" ht="12.75"/>
    <row r="3" spans="2:11" ht="21" customHeight="1">
      <c r="B3" s="742" t="s">
        <v>134</v>
      </c>
      <c r="C3" s="743"/>
      <c r="D3" s="743"/>
      <c r="E3" s="743"/>
      <c r="F3" s="743"/>
      <c r="G3" s="743"/>
      <c r="H3" s="743"/>
      <c r="I3" s="743"/>
      <c r="J3" s="743"/>
      <c r="K3" s="743"/>
    </row>
    <row r="4" spans="1:12" ht="13.5" thickBot="1">
      <c r="A4" s="80"/>
      <c r="B4" s="82"/>
      <c r="C4" s="80"/>
      <c r="D4" s="80"/>
      <c r="E4" s="80"/>
      <c r="F4" s="80"/>
      <c r="G4" s="80"/>
      <c r="H4" s="80"/>
      <c r="I4" s="80"/>
      <c r="J4" s="80"/>
      <c r="K4" s="180" t="s">
        <v>115</v>
      </c>
      <c r="L4" s="80"/>
    </row>
    <row r="5" spans="1:12" ht="12.75">
      <c r="A5" s="80"/>
      <c r="B5" s="448"/>
      <c r="C5" s="449" t="s">
        <v>21</v>
      </c>
      <c r="D5" s="450"/>
      <c r="E5" s="451"/>
      <c r="F5" s="451" t="s">
        <v>3</v>
      </c>
      <c r="G5" s="451"/>
      <c r="H5" s="451"/>
      <c r="I5" s="452"/>
      <c r="J5" s="453" t="s">
        <v>22</v>
      </c>
      <c r="K5" s="454"/>
      <c r="L5" s="80"/>
    </row>
    <row r="6" spans="1:12" ht="12.75" customHeight="1">
      <c r="A6" s="80"/>
      <c r="B6" s="455"/>
      <c r="C6" s="456" t="s">
        <v>0</v>
      </c>
      <c r="D6" s="744" t="s">
        <v>105</v>
      </c>
      <c r="E6" s="747" t="s">
        <v>5</v>
      </c>
      <c r="F6" s="748"/>
      <c r="G6" s="457" t="s">
        <v>4</v>
      </c>
      <c r="H6" s="458" t="s">
        <v>24</v>
      </c>
      <c r="I6" s="749" t="s">
        <v>7</v>
      </c>
      <c r="J6" s="459" t="s">
        <v>26</v>
      </c>
      <c r="K6" s="265" t="s">
        <v>29</v>
      </c>
      <c r="L6" s="80"/>
    </row>
    <row r="7" spans="1:12" ht="12.75" customHeight="1">
      <c r="A7" s="80"/>
      <c r="B7" s="455"/>
      <c r="C7" s="456"/>
      <c r="D7" s="745"/>
      <c r="E7" s="740" t="s">
        <v>103</v>
      </c>
      <c r="F7" s="740" t="s">
        <v>104</v>
      </c>
      <c r="G7" s="460"/>
      <c r="H7" s="461">
        <v>0.015</v>
      </c>
      <c r="I7" s="750"/>
      <c r="J7" s="459"/>
      <c r="K7" s="268"/>
      <c r="L7" s="80"/>
    </row>
    <row r="8" spans="1:12" ht="12.75">
      <c r="A8" s="80"/>
      <c r="B8" s="455"/>
      <c r="C8" s="456"/>
      <c r="D8" s="746"/>
      <c r="E8" s="741"/>
      <c r="F8" s="741"/>
      <c r="G8" s="462"/>
      <c r="H8" s="462"/>
      <c r="I8" s="751"/>
      <c r="J8" s="459"/>
      <c r="K8" s="268"/>
      <c r="L8" s="80"/>
    </row>
    <row r="9" spans="1:12" ht="13.5" thickBot="1">
      <c r="A9" s="80"/>
      <c r="B9" s="463"/>
      <c r="C9" s="464" t="s">
        <v>10</v>
      </c>
      <c r="D9" s="81" t="s">
        <v>11</v>
      </c>
      <c r="E9" s="465" t="s">
        <v>12</v>
      </c>
      <c r="F9" s="465" t="s">
        <v>13</v>
      </c>
      <c r="G9" s="465" t="s">
        <v>14</v>
      </c>
      <c r="H9" s="465" t="s">
        <v>15</v>
      </c>
      <c r="I9" s="465" t="s">
        <v>16</v>
      </c>
      <c r="J9" s="466" t="s">
        <v>17</v>
      </c>
      <c r="K9" s="690"/>
      <c r="L9" s="80"/>
    </row>
    <row r="10" spans="1:12" ht="14.25">
      <c r="A10" s="467"/>
      <c r="B10" s="468" t="s">
        <v>69</v>
      </c>
      <c r="C10" s="469"/>
      <c r="D10" s="121"/>
      <c r="E10" s="121"/>
      <c r="F10" s="121"/>
      <c r="G10" s="120"/>
      <c r="H10" s="121"/>
      <c r="I10" s="121"/>
      <c r="J10" s="470"/>
      <c r="K10" s="691"/>
      <c r="L10" s="80"/>
    </row>
    <row r="11" spans="1:12" ht="12.75">
      <c r="A11" s="467"/>
      <c r="B11" s="471" t="s">
        <v>19</v>
      </c>
      <c r="C11" s="472">
        <f aca="true" t="shared" si="0" ref="C11:C18">SUM(D11+G11+H11+I11)</f>
        <v>21979001</v>
      </c>
      <c r="D11" s="473">
        <f>SUM(E11+F11)</f>
        <v>10764547</v>
      </c>
      <c r="E11" s="473">
        <v>10008547</v>
      </c>
      <c r="F11" s="473">
        <v>756000</v>
      </c>
      <c r="G11" s="166">
        <f>ROUND((E11*0.34+F11*0.34),0)</f>
        <v>3659946</v>
      </c>
      <c r="H11" s="166">
        <f>ROUND((E11*0.015),0)</f>
        <v>150128</v>
      </c>
      <c r="I11" s="473">
        <v>7404380</v>
      </c>
      <c r="J11" s="474">
        <v>36.9</v>
      </c>
      <c r="K11" s="691"/>
      <c r="L11" s="80"/>
    </row>
    <row r="12" spans="1:12" ht="12.75">
      <c r="A12" s="467"/>
      <c r="B12" s="471" t="s">
        <v>98</v>
      </c>
      <c r="C12" s="472">
        <f t="shared" si="0"/>
        <v>55498167</v>
      </c>
      <c r="D12" s="473">
        <f aca="true" t="shared" si="1" ref="D12:D18">SUM(E12+F12)</f>
        <v>32974920</v>
      </c>
      <c r="E12" s="473">
        <v>29604920</v>
      </c>
      <c r="F12" s="473">
        <v>3370000</v>
      </c>
      <c r="G12" s="166">
        <f aca="true" t="shared" si="2" ref="G12:G18">ROUND((E12*0.34+F12*0.34),0)</f>
        <v>11211473</v>
      </c>
      <c r="H12" s="166">
        <f aca="true" t="shared" si="3" ref="H12:H17">ROUND((E12*0.015),0)</f>
        <v>444074</v>
      </c>
      <c r="I12" s="473">
        <f>10867700</f>
        <v>10867700</v>
      </c>
      <c r="J12" s="474">
        <v>98.8</v>
      </c>
      <c r="K12" s="691"/>
      <c r="L12" s="80"/>
    </row>
    <row r="13" spans="1:12" ht="12.75">
      <c r="A13" s="467"/>
      <c r="B13" s="471" t="s">
        <v>99</v>
      </c>
      <c r="C13" s="472">
        <f t="shared" si="0"/>
        <v>30239328</v>
      </c>
      <c r="D13" s="473">
        <f t="shared" si="1"/>
        <v>16013296</v>
      </c>
      <c r="E13" s="473">
        <v>14541296</v>
      </c>
      <c r="F13" s="473">
        <v>1472000</v>
      </c>
      <c r="G13" s="668">
        <f>ROUND((E13*0.34+F13*0.34)-60941,0)</f>
        <v>5383580</v>
      </c>
      <c r="H13" s="668">
        <f t="shared" si="3"/>
        <v>218119</v>
      </c>
      <c r="I13" s="473">
        <f>8064963+559370</f>
        <v>8624333</v>
      </c>
      <c r="J13" s="474">
        <v>44.24</v>
      </c>
      <c r="K13" s="691"/>
      <c r="L13" s="80"/>
    </row>
    <row r="14" spans="1:12" ht="12.75">
      <c r="A14" s="467"/>
      <c r="B14" s="471" t="s">
        <v>84</v>
      </c>
      <c r="C14" s="472">
        <f t="shared" si="0"/>
        <v>105505832</v>
      </c>
      <c r="D14" s="473">
        <f t="shared" si="1"/>
        <v>39022090</v>
      </c>
      <c r="E14" s="473">
        <v>38682090</v>
      </c>
      <c r="F14" s="473">
        <v>340000</v>
      </c>
      <c r="G14" s="668">
        <f t="shared" si="2"/>
        <v>13267511</v>
      </c>
      <c r="H14" s="668">
        <f t="shared" si="3"/>
        <v>580231</v>
      </c>
      <c r="I14" s="473">
        <v>52636000</v>
      </c>
      <c r="J14" s="474">
        <v>145.39</v>
      </c>
      <c r="K14" s="691"/>
      <c r="L14" s="80"/>
    </row>
    <row r="15" spans="1:12" ht="12.75">
      <c r="A15" s="467"/>
      <c r="B15" s="471" t="s">
        <v>20</v>
      </c>
      <c r="C15" s="472">
        <f t="shared" si="0"/>
        <v>6646000</v>
      </c>
      <c r="D15" s="473">
        <f t="shared" si="1"/>
        <v>0</v>
      </c>
      <c r="E15" s="473"/>
      <c r="F15" s="473"/>
      <c r="G15" s="668"/>
      <c r="H15" s="668">
        <f t="shared" si="3"/>
        <v>0</v>
      </c>
      <c r="I15" s="473">
        <v>6646000</v>
      </c>
      <c r="J15" s="474"/>
      <c r="K15" s="691"/>
      <c r="L15" s="80"/>
    </row>
    <row r="16" spans="1:12" ht="12.75">
      <c r="A16" s="467"/>
      <c r="B16" s="329" t="s">
        <v>59</v>
      </c>
      <c r="C16" s="472">
        <f t="shared" si="0"/>
        <v>70158072</v>
      </c>
      <c r="D16" s="475">
        <f t="shared" si="1"/>
        <v>45839390</v>
      </c>
      <c r="E16" s="473">
        <v>32655390</v>
      </c>
      <c r="F16" s="475">
        <v>13184000</v>
      </c>
      <c r="G16" s="668">
        <f>ROUND((E16*0.34+F16*0.34)-2997390,0)</f>
        <v>12588003</v>
      </c>
      <c r="H16" s="668">
        <f>ROUND((E16*0.015),0)-13101</f>
        <v>476730</v>
      </c>
      <c r="I16" s="475">
        <v>11253949</v>
      </c>
      <c r="J16" s="476">
        <v>103.18</v>
      </c>
      <c r="K16" s="692"/>
      <c r="L16" s="80"/>
    </row>
    <row r="17" spans="1:12" ht="12.75">
      <c r="A17" s="467"/>
      <c r="B17" s="329" t="s">
        <v>60</v>
      </c>
      <c r="C17" s="472">
        <f t="shared" si="0"/>
        <v>183252088</v>
      </c>
      <c r="D17" s="475">
        <f t="shared" si="1"/>
        <v>55106322</v>
      </c>
      <c r="E17" s="473">
        <v>24055832</v>
      </c>
      <c r="F17" s="475">
        <v>31050490</v>
      </c>
      <c r="G17" s="668">
        <f>ROUND((E17*0.34+F17*0.34),0)+1</f>
        <v>18736150</v>
      </c>
      <c r="H17" s="668">
        <f t="shared" si="3"/>
        <v>360837</v>
      </c>
      <c r="I17" s="475">
        <v>109048779</v>
      </c>
      <c r="J17" s="476">
        <v>70</v>
      </c>
      <c r="K17" s="692"/>
      <c r="L17" s="80"/>
    </row>
    <row r="18" spans="1:12" ht="12.75">
      <c r="A18" s="467"/>
      <c r="B18" s="329" t="s">
        <v>40</v>
      </c>
      <c r="C18" s="472">
        <f t="shared" si="0"/>
        <v>5059049</v>
      </c>
      <c r="D18" s="475">
        <f t="shared" si="1"/>
        <v>2892545</v>
      </c>
      <c r="E18" s="473">
        <v>2002545</v>
      </c>
      <c r="F18" s="475">
        <v>890000</v>
      </c>
      <c r="G18" s="668">
        <f t="shared" si="2"/>
        <v>983465</v>
      </c>
      <c r="H18" s="668">
        <f>ROUND((E18*0.015),0)+1</f>
        <v>30039</v>
      </c>
      <c r="I18" s="475">
        <v>1153000</v>
      </c>
      <c r="J18" s="476">
        <v>6</v>
      </c>
      <c r="K18" s="692"/>
      <c r="L18" s="80"/>
    </row>
    <row r="19" spans="1:12" ht="13.5" thickBot="1">
      <c r="A19" s="477"/>
      <c r="B19" s="478" t="s">
        <v>70</v>
      </c>
      <c r="C19" s="479">
        <f>SUM(C11:C18)</f>
        <v>478337537</v>
      </c>
      <c r="D19" s="480">
        <f aca="true" t="shared" si="4" ref="D19:J19">SUM(D11:D18)</f>
        <v>202613110</v>
      </c>
      <c r="E19" s="480">
        <f>SUM(E11:E18)</f>
        <v>151550620</v>
      </c>
      <c r="F19" s="480">
        <f t="shared" si="4"/>
        <v>51062490</v>
      </c>
      <c r="G19" s="191">
        <f t="shared" si="4"/>
        <v>65830128</v>
      </c>
      <c r="H19" s="191">
        <f>SUM(H11:H18)</f>
        <v>2260158</v>
      </c>
      <c r="I19" s="191">
        <f t="shared" si="4"/>
        <v>207634141</v>
      </c>
      <c r="J19" s="481">
        <f t="shared" si="4"/>
        <v>504.51</v>
      </c>
      <c r="K19" s="693"/>
      <c r="L19" s="80"/>
    </row>
    <row r="20" spans="1:12" ht="13.5" thickTop="1">
      <c r="A20" s="477"/>
      <c r="B20" s="482"/>
      <c r="C20" s="483"/>
      <c r="D20" s="484"/>
      <c r="E20" s="484"/>
      <c r="F20" s="484"/>
      <c r="G20" s="193"/>
      <c r="H20" s="193"/>
      <c r="I20" s="193"/>
      <c r="J20" s="485"/>
      <c r="K20" s="694"/>
      <c r="L20" s="80"/>
    </row>
    <row r="21" spans="1:12" ht="14.25">
      <c r="A21" s="477"/>
      <c r="B21" s="486" t="s">
        <v>238</v>
      </c>
      <c r="C21" s="483"/>
      <c r="D21" s="484"/>
      <c r="E21" s="484"/>
      <c r="F21" s="484"/>
      <c r="G21" s="198"/>
      <c r="H21" s="193"/>
      <c r="I21" s="484"/>
      <c r="J21" s="485"/>
      <c r="K21" s="695"/>
      <c r="L21" s="80"/>
    </row>
    <row r="22" spans="1:12" ht="12.75">
      <c r="A22" s="477"/>
      <c r="B22" s="330" t="s">
        <v>159</v>
      </c>
      <c r="C22" s="490">
        <f aca="true" t="shared" si="5" ref="C22:C28">SUM(D22+G22+I22)</f>
        <v>7682288</v>
      </c>
      <c r="D22" s="491">
        <f aca="true" t="shared" si="6" ref="D22:D28">SUM(E22+F22)</f>
        <v>0</v>
      </c>
      <c r="E22" s="491"/>
      <c r="F22" s="491"/>
      <c r="G22" s="491"/>
      <c r="H22" s="491"/>
      <c r="I22" s="491">
        <v>7682288</v>
      </c>
      <c r="J22" s="492"/>
      <c r="K22" s="696"/>
      <c r="L22" s="389"/>
    </row>
    <row r="23" spans="1:12" ht="12.75">
      <c r="A23" s="477"/>
      <c r="B23" s="330" t="s">
        <v>160</v>
      </c>
      <c r="C23" s="490">
        <f t="shared" si="5"/>
        <v>1374000</v>
      </c>
      <c r="D23" s="491">
        <f t="shared" si="6"/>
        <v>0</v>
      </c>
      <c r="E23" s="491"/>
      <c r="F23" s="491"/>
      <c r="G23" s="491"/>
      <c r="H23" s="491"/>
      <c r="I23" s="491">
        <v>1374000</v>
      </c>
      <c r="J23" s="492"/>
      <c r="K23" s="695"/>
      <c r="L23" s="389"/>
    </row>
    <row r="24" spans="1:12" ht="12.75">
      <c r="A24" s="477"/>
      <c r="B24" s="330" t="s">
        <v>161</v>
      </c>
      <c r="C24" s="490">
        <f t="shared" si="5"/>
        <v>1776000</v>
      </c>
      <c r="D24" s="491">
        <f>SUM(E24+F24)</f>
        <v>0</v>
      </c>
      <c r="E24" s="491"/>
      <c r="F24" s="491"/>
      <c r="G24" s="491"/>
      <c r="H24" s="491"/>
      <c r="I24" s="491">
        <v>1776000</v>
      </c>
      <c r="J24" s="492"/>
      <c r="K24" s="695"/>
      <c r="L24" s="389"/>
    </row>
    <row r="25" spans="1:12" ht="12.75">
      <c r="A25" s="477"/>
      <c r="B25" s="330" t="s">
        <v>162</v>
      </c>
      <c r="C25" s="490">
        <f t="shared" si="5"/>
        <v>623000</v>
      </c>
      <c r="D25" s="491">
        <f>SUM(E25+F25)</f>
        <v>0</v>
      </c>
      <c r="E25" s="491"/>
      <c r="F25" s="491"/>
      <c r="G25" s="491"/>
      <c r="H25" s="491"/>
      <c r="I25" s="491">
        <v>623000</v>
      </c>
      <c r="J25" s="492"/>
      <c r="K25" s="695"/>
      <c r="L25" s="389"/>
    </row>
    <row r="26" spans="1:12" ht="12.75">
      <c r="A26" s="477"/>
      <c r="B26" s="330" t="s">
        <v>163</v>
      </c>
      <c r="C26" s="490">
        <f t="shared" si="5"/>
        <v>196000</v>
      </c>
      <c r="D26" s="491">
        <f>SUM(E26+F26)</f>
        <v>0</v>
      </c>
      <c r="E26" s="491"/>
      <c r="F26" s="491"/>
      <c r="G26" s="491"/>
      <c r="H26" s="491"/>
      <c r="I26" s="491">
        <v>196000</v>
      </c>
      <c r="J26" s="492"/>
      <c r="K26" s="695"/>
      <c r="L26" s="389"/>
    </row>
    <row r="27" spans="1:12" ht="12.75">
      <c r="A27" s="477"/>
      <c r="B27" s="330" t="s">
        <v>164</v>
      </c>
      <c r="C27" s="490">
        <f t="shared" si="5"/>
        <v>1061000</v>
      </c>
      <c r="D27" s="491">
        <f>SUM(E27+F27)</f>
        <v>0</v>
      </c>
      <c r="E27" s="491"/>
      <c r="F27" s="491"/>
      <c r="G27" s="491"/>
      <c r="H27" s="491"/>
      <c r="I27" s="491">
        <v>1061000</v>
      </c>
      <c r="J27" s="492"/>
      <c r="K27" s="695"/>
      <c r="L27" s="389"/>
    </row>
    <row r="28" spans="1:12" ht="12.75">
      <c r="A28" s="477"/>
      <c r="B28" s="330" t="s">
        <v>165</v>
      </c>
      <c r="C28" s="490">
        <f t="shared" si="5"/>
        <v>278000</v>
      </c>
      <c r="D28" s="491">
        <f t="shared" si="6"/>
        <v>0</v>
      </c>
      <c r="E28" s="491"/>
      <c r="F28" s="491"/>
      <c r="G28" s="491"/>
      <c r="H28" s="491"/>
      <c r="I28" s="491">
        <v>278000</v>
      </c>
      <c r="J28" s="492"/>
      <c r="K28" s="695"/>
      <c r="L28" s="389"/>
    </row>
    <row r="29" spans="1:12" ht="13.5" thickBot="1">
      <c r="A29" s="477"/>
      <c r="B29" s="493" t="s">
        <v>71</v>
      </c>
      <c r="C29" s="494">
        <f aca="true" t="shared" si="7" ref="C29:J29">SUM(C22:C28)</f>
        <v>12990288</v>
      </c>
      <c r="D29" s="495">
        <f t="shared" si="7"/>
        <v>0</v>
      </c>
      <c r="E29" s="495">
        <f t="shared" si="7"/>
        <v>0</v>
      </c>
      <c r="F29" s="495">
        <f t="shared" si="7"/>
        <v>0</v>
      </c>
      <c r="G29" s="495">
        <f t="shared" si="7"/>
        <v>0</v>
      </c>
      <c r="H29" s="495">
        <f t="shared" si="7"/>
        <v>0</v>
      </c>
      <c r="I29" s="496">
        <f t="shared" si="7"/>
        <v>12990288</v>
      </c>
      <c r="J29" s="497">
        <f t="shared" si="7"/>
        <v>0</v>
      </c>
      <c r="K29" s="697"/>
      <c r="L29" s="389"/>
    </row>
    <row r="30" spans="1:13" ht="13.5" thickTop="1">
      <c r="A30" s="477"/>
      <c r="B30" s="498"/>
      <c r="C30" s="499"/>
      <c r="D30" s="500"/>
      <c r="E30" s="500"/>
      <c r="F30" s="500"/>
      <c r="G30" s="500"/>
      <c r="H30" s="500"/>
      <c r="I30" s="500"/>
      <c r="J30" s="501"/>
      <c r="K30" s="698"/>
      <c r="L30" s="389"/>
      <c r="M30" s="211"/>
    </row>
    <row r="31" spans="1:12" ht="14.25">
      <c r="A31" s="502"/>
      <c r="B31" s="486" t="s">
        <v>136</v>
      </c>
      <c r="C31" s="503"/>
      <c r="D31" s="504"/>
      <c r="E31" s="504"/>
      <c r="F31" s="504"/>
      <c r="G31" s="504"/>
      <c r="H31" s="504"/>
      <c r="I31" s="504"/>
      <c r="J31" s="505"/>
      <c r="K31" s="694"/>
      <c r="L31" s="389"/>
    </row>
    <row r="32" spans="1:18" s="61" customFormat="1" ht="12.75" customHeight="1">
      <c r="A32" s="477"/>
      <c r="B32" s="506" t="s">
        <v>116</v>
      </c>
      <c r="C32" s="490">
        <f aca="true" t="shared" si="8" ref="C32:C42">SUM(D32+G32+H32+I32)</f>
        <v>900000</v>
      </c>
      <c r="D32" s="491">
        <f aca="true" t="shared" si="9" ref="D32:D42">SUM(E32+F32)</f>
        <v>434000</v>
      </c>
      <c r="E32" s="491">
        <v>360000</v>
      </c>
      <c r="F32" s="491">
        <v>74000</v>
      </c>
      <c r="G32" s="507">
        <f>ROUND((E32*0.34+F32*0.34),0)-25160</f>
        <v>122400</v>
      </c>
      <c r="H32" s="491">
        <f aca="true" t="shared" si="10" ref="H32:H43">ROUND((E32*0.015),0)</f>
        <v>5400</v>
      </c>
      <c r="I32" s="508">
        <f>340000-1800</f>
        <v>338200</v>
      </c>
      <c r="J32" s="492">
        <v>1.25</v>
      </c>
      <c r="K32" s="699" t="s">
        <v>98</v>
      </c>
      <c r="L32" s="389"/>
      <c r="M32" s="2"/>
      <c r="N32" s="2"/>
      <c r="O32" s="2"/>
      <c r="P32" s="2"/>
      <c r="Q32" s="2"/>
      <c r="R32" s="2"/>
    </row>
    <row r="33" spans="1:12" ht="12.75" customHeight="1">
      <c r="A33" s="477"/>
      <c r="B33" s="506" t="s">
        <v>88</v>
      </c>
      <c r="C33" s="490">
        <f t="shared" si="8"/>
        <v>1837000</v>
      </c>
      <c r="D33" s="491">
        <f t="shared" si="9"/>
        <v>987000</v>
      </c>
      <c r="E33" s="491">
        <v>450000</v>
      </c>
      <c r="F33" s="491">
        <v>537000</v>
      </c>
      <c r="G33" s="507">
        <f>ROUND((E33*0.34+F33*0.34),0)-85580</f>
        <v>250000</v>
      </c>
      <c r="H33" s="491">
        <f t="shared" si="10"/>
        <v>6750</v>
      </c>
      <c r="I33" s="508">
        <f>595500-2250</f>
        <v>593250</v>
      </c>
      <c r="J33" s="492">
        <v>1.5</v>
      </c>
      <c r="K33" s="699" t="s">
        <v>98</v>
      </c>
      <c r="L33" s="389"/>
    </row>
    <row r="34" spans="1:12" ht="12.75">
      <c r="A34" s="477"/>
      <c r="B34" s="506" t="s">
        <v>110</v>
      </c>
      <c r="C34" s="490">
        <f t="shared" si="8"/>
        <v>1332305</v>
      </c>
      <c r="D34" s="491">
        <f t="shared" si="9"/>
        <v>350000</v>
      </c>
      <c r="E34" s="491"/>
      <c r="F34" s="491">
        <v>350000</v>
      </c>
      <c r="G34" s="491">
        <f>ROUND((E34*0.34+F34*0.34),0)</f>
        <v>119000</v>
      </c>
      <c r="H34" s="491">
        <f t="shared" si="10"/>
        <v>0</v>
      </c>
      <c r="I34" s="169">
        <v>863305</v>
      </c>
      <c r="J34" s="403">
        <v>0</v>
      </c>
      <c r="K34" s="699" t="s">
        <v>60</v>
      </c>
      <c r="L34" s="180"/>
    </row>
    <row r="35" spans="1:12" ht="12.75">
      <c r="A35" s="477"/>
      <c r="B35" s="506" t="s">
        <v>114</v>
      </c>
      <c r="C35" s="490">
        <f t="shared" si="8"/>
        <v>7492333</v>
      </c>
      <c r="D35" s="491">
        <f t="shared" si="9"/>
        <v>2811045</v>
      </c>
      <c r="E35" s="491"/>
      <c r="F35" s="491">
        <v>2811045</v>
      </c>
      <c r="G35" s="491">
        <f>ROUND((E35*0.34+F35*0.34),0)</f>
        <v>955755</v>
      </c>
      <c r="H35" s="491">
        <f t="shared" si="10"/>
        <v>0</v>
      </c>
      <c r="I35" s="169">
        <v>3725533</v>
      </c>
      <c r="J35" s="403">
        <v>0</v>
      </c>
      <c r="K35" s="699" t="s">
        <v>60</v>
      </c>
      <c r="L35" s="180"/>
    </row>
    <row r="36" spans="1:12" ht="12.75">
      <c r="A36" s="477"/>
      <c r="B36" s="506" t="s">
        <v>128</v>
      </c>
      <c r="C36" s="490">
        <f t="shared" si="8"/>
        <v>430000</v>
      </c>
      <c r="D36" s="491">
        <f t="shared" si="9"/>
        <v>0</v>
      </c>
      <c r="E36" s="491"/>
      <c r="F36" s="491">
        <v>0</v>
      </c>
      <c r="G36" s="491">
        <f>ROUND((E36*0.34+F36*0.34),0)</f>
        <v>0</v>
      </c>
      <c r="H36" s="491">
        <f t="shared" si="10"/>
        <v>0</v>
      </c>
      <c r="I36" s="169">
        <v>430000</v>
      </c>
      <c r="J36" s="403">
        <v>0</v>
      </c>
      <c r="K36" s="699" t="s">
        <v>106</v>
      </c>
      <c r="L36" s="180"/>
    </row>
    <row r="37" spans="1:12" ht="12.75">
      <c r="A37" s="477"/>
      <c r="B37" s="434" t="s">
        <v>263</v>
      </c>
      <c r="C37" s="510">
        <f>SUM(D37+G37+H37+I37)</f>
        <v>1400000</v>
      </c>
      <c r="D37" s="491">
        <f>SUM(E37+F37)</f>
        <v>0</v>
      </c>
      <c r="E37" s="491"/>
      <c r="F37" s="491"/>
      <c r="G37" s="491">
        <f>ROUND((E37*0.34+F37*0.34),0)</f>
        <v>0</v>
      </c>
      <c r="H37" s="491">
        <f>ROUND((E37*0.015),0)</f>
        <v>0</v>
      </c>
      <c r="I37" s="169">
        <v>1400000</v>
      </c>
      <c r="J37" s="403">
        <v>0</v>
      </c>
      <c r="K37" s="700" t="s">
        <v>264</v>
      </c>
      <c r="L37" s="180"/>
    </row>
    <row r="38" spans="1:12" ht="12.75">
      <c r="A38" s="477"/>
      <c r="B38" s="358" t="s">
        <v>80</v>
      </c>
      <c r="C38" s="670">
        <f>SUM(D38+G38+H38+I38)</f>
        <v>7651986</v>
      </c>
      <c r="D38" s="182">
        <f>SUM(E38+F38)</f>
        <v>5647222</v>
      </c>
      <c r="E38" s="165">
        <v>5647222</v>
      </c>
      <c r="F38" s="165"/>
      <c r="G38" s="165">
        <f>ROUND((E38*0.34+F38*0.34)+1,0)</f>
        <v>1920056</v>
      </c>
      <c r="H38" s="165">
        <f>ROUND((E38*0.015),0)</f>
        <v>84708</v>
      </c>
      <c r="I38" s="165"/>
      <c r="J38" s="399">
        <v>16</v>
      </c>
      <c r="K38" s="699" t="s">
        <v>19</v>
      </c>
      <c r="L38" s="80"/>
    </row>
    <row r="39" spans="1:12" ht="12.75">
      <c r="A39" s="477"/>
      <c r="B39" s="506" t="s">
        <v>109</v>
      </c>
      <c r="C39" s="490">
        <f t="shared" si="8"/>
        <v>1018035</v>
      </c>
      <c r="D39" s="491">
        <f t="shared" si="9"/>
        <v>751317</v>
      </c>
      <c r="E39" s="491">
        <v>751317</v>
      </c>
      <c r="F39" s="491"/>
      <c r="G39" s="491">
        <f>ROUND((E39*0.34+F39*0.34),0)</f>
        <v>255448</v>
      </c>
      <c r="H39" s="491">
        <f t="shared" si="10"/>
        <v>11270</v>
      </c>
      <c r="I39" s="169">
        <v>0</v>
      </c>
      <c r="J39" s="492">
        <v>1.66</v>
      </c>
      <c r="K39" s="699" t="s">
        <v>19</v>
      </c>
      <c r="L39" s="80"/>
    </row>
    <row r="40" spans="1:12" ht="12.75">
      <c r="A40" s="477"/>
      <c r="B40" s="506" t="s">
        <v>82</v>
      </c>
      <c r="C40" s="490">
        <f t="shared" si="8"/>
        <v>300000</v>
      </c>
      <c r="D40" s="491">
        <f t="shared" si="9"/>
        <v>0</v>
      </c>
      <c r="E40" s="491"/>
      <c r="F40" s="491"/>
      <c r="G40" s="491">
        <f>ROUND((E40*0.34+F40*0.34),0)</f>
        <v>0</v>
      </c>
      <c r="H40" s="491">
        <f t="shared" si="10"/>
        <v>0</v>
      </c>
      <c r="I40" s="169">
        <v>300000</v>
      </c>
      <c r="J40" s="403">
        <v>0</v>
      </c>
      <c r="K40" s="699" t="s">
        <v>19</v>
      </c>
      <c r="L40" s="80"/>
    </row>
    <row r="41" spans="1:12" ht="12.75" customHeight="1">
      <c r="A41" s="477"/>
      <c r="B41" s="506" t="s">
        <v>100</v>
      </c>
      <c r="C41" s="490">
        <f t="shared" si="8"/>
        <v>824000</v>
      </c>
      <c r="D41" s="491">
        <f t="shared" si="9"/>
        <v>0</v>
      </c>
      <c r="E41" s="491"/>
      <c r="F41" s="491"/>
      <c r="G41" s="491">
        <f>ROUND((E41*0.34+F41*0.34),0)</f>
        <v>0</v>
      </c>
      <c r="H41" s="491">
        <f t="shared" si="10"/>
        <v>0</v>
      </c>
      <c r="I41" s="169">
        <v>824000</v>
      </c>
      <c r="J41" s="403">
        <v>0</v>
      </c>
      <c r="K41" s="699" t="s">
        <v>19</v>
      </c>
      <c r="L41" s="80"/>
    </row>
    <row r="42" spans="1:12" ht="12.75">
      <c r="A42" s="477"/>
      <c r="B42" s="506" t="s">
        <v>83</v>
      </c>
      <c r="C42" s="490">
        <f t="shared" si="8"/>
        <v>140000</v>
      </c>
      <c r="D42" s="491">
        <f t="shared" si="9"/>
        <v>30000</v>
      </c>
      <c r="E42" s="491"/>
      <c r="F42" s="491">
        <v>30000</v>
      </c>
      <c r="G42" s="491">
        <f>ROUND((E42*0.34+F42*0.34),0)-10200</f>
        <v>0</v>
      </c>
      <c r="H42" s="491">
        <f t="shared" si="10"/>
        <v>0</v>
      </c>
      <c r="I42" s="169">
        <v>110000</v>
      </c>
      <c r="J42" s="403">
        <v>0</v>
      </c>
      <c r="K42" s="699" t="s">
        <v>19</v>
      </c>
      <c r="L42" s="180"/>
    </row>
    <row r="43" spans="1:12" ht="25.5">
      <c r="A43" s="477"/>
      <c r="B43" s="527" t="s">
        <v>253</v>
      </c>
      <c r="C43" s="490">
        <f>D43+G43+H43+I43</f>
        <v>1251600</v>
      </c>
      <c r="D43" s="491">
        <f>SUM(E43+F43)</f>
        <v>208000</v>
      </c>
      <c r="E43" s="169"/>
      <c r="F43" s="169">
        <v>208000</v>
      </c>
      <c r="G43" s="328">
        <f>ROUND((E43*0.34)+(F43*0.34),0)-27120</f>
        <v>43600</v>
      </c>
      <c r="H43" s="322">
        <f t="shared" si="10"/>
        <v>0</v>
      </c>
      <c r="I43" s="491">
        <v>1000000</v>
      </c>
      <c r="J43" s="492"/>
      <c r="K43" s="700" t="s">
        <v>99</v>
      </c>
      <c r="L43" s="180"/>
    </row>
    <row r="44" spans="1:12" ht="12.75">
      <c r="A44" s="477"/>
      <c r="B44" s="527" t="s">
        <v>260</v>
      </c>
      <c r="C44" s="490">
        <f>D44+G44+H44+I44</f>
        <v>637130</v>
      </c>
      <c r="D44" s="491">
        <f>SUM(E44+F44)</f>
        <v>538000</v>
      </c>
      <c r="E44" s="491"/>
      <c r="F44" s="491">
        <f>250000+288000</f>
        <v>538000</v>
      </c>
      <c r="G44" s="491">
        <f>ROUND((E44*0.34+F44*0.34),0)-85000+1210</f>
        <v>99130</v>
      </c>
      <c r="H44" s="491"/>
      <c r="I44" s="491"/>
      <c r="J44" s="622"/>
      <c r="K44" s="701" t="s">
        <v>252</v>
      </c>
      <c r="L44" s="80"/>
    </row>
    <row r="45" spans="1:12" ht="13.5" thickBot="1">
      <c r="A45" s="477"/>
      <c r="B45" s="513" t="s">
        <v>141</v>
      </c>
      <c r="C45" s="514">
        <f>SUM(C32:C44)</f>
        <v>25214389</v>
      </c>
      <c r="D45" s="515">
        <f>SUM(D32:D44)</f>
        <v>11756584</v>
      </c>
      <c r="E45" s="515">
        <f aca="true" t="shared" si="11" ref="E45:J45">SUM(E32:E44)</f>
        <v>7208539</v>
      </c>
      <c r="F45" s="515">
        <f t="shared" si="11"/>
        <v>4548045</v>
      </c>
      <c r="G45" s="515">
        <f t="shared" si="11"/>
        <v>3765389</v>
      </c>
      <c r="H45" s="515">
        <f t="shared" si="11"/>
        <v>108128</v>
      </c>
      <c r="I45" s="515">
        <f t="shared" si="11"/>
        <v>9584288</v>
      </c>
      <c r="J45" s="516">
        <f t="shared" si="11"/>
        <v>20.41</v>
      </c>
      <c r="K45" s="702"/>
      <c r="L45" s="389"/>
    </row>
    <row r="46" spans="1:12" ht="12.75" customHeight="1" hidden="1">
      <c r="A46" s="477"/>
      <c r="B46" s="517"/>
      <c r="C46" s="518"/>
      <c r="D46" s="519"/>
      <c r="E46" s="418"/>
      <c r="F46" s="418"/>
      <c r="G46" s="418"/>
      <c r="H46" s="418"/>
      <c r="I46" s="418"/>
      <c r="J46" s="420"/>
      <c r="K46" s="703"/>
      <c r="L46" s="80"/>
    </row>
    <row r="47" spans="1:12" ht="12.75" customHeight="1">
      <c r="A47" s="477"/>
      <c r="B47" s="517"/>
      <c r="C47" s="518"/>
      <c r="D47" s="645"/>
      <c r="E47" s="418"/>
      <c r="F47" s="418"/>
      <c r="G47" s="418"/>
      <c r="H47" s="418"/>
      <c r="I47" s="418"/>
      <c r="J47" s="420"/>
      <c r="K47" s="703"/>
      <c r="L47" s="80"/>
    </row>
    <row r="48" spans="1:12" ht="15.75">
      <c r="A48" s="477"/>
      <c r="B48" s="639" t="s">
        <v>217</v>
      </c>
      <c r="C48" s="524"/>
      <c r="D48" s="484"/>
      <c r="E48" s="525"/>
      <c r="F48" s="525"/>
      <c r="G48" s="525"/>
      <c r="H48" s="525"/>
      <c r="I48" s="487"/>
      <c r="J48" s="526"/>
      <c r="K48" s="704"/>
      <c r="L48" s="80"/>
    </row>
    <row r="49" spans="1:12" ht="25.5">
      <c r="A49" s="477"/>
      <c r="B49" s="506" t="s">
        <v>119</v>
      </c>
      <c r="C49" s="490">
        <f>SUM(D49+G49+H49+I49)</f>
        <v>1650000</v>
      </c>
      <c r="D49" s="491">
        <f>SUM(E49+F49)</f>
        <v>650000</v>
      </c>
      <c r="E49" s="491"/>
      <c r="F49" s="491">
        <v>650000</v>
      </c>
      <c r="G49" s="507">
        <f>ROUND((E49*0.34+F49*0.34),0)-37000</f>
        <v>184000</v>
      </c>
      <c r="H49" s="491">
        <f>ROUND((E49*0.015),0)</f>
        <v>0</v>
      </c>
      <c r="I49" s="169">
        <v>816000</v>
      </c>
      <c r="J49" s="403">
        <v>0</v>
      </c>
      <c r="K49" s="700" t="s">
        <v>137</v>
      </c>
      <c r="L49" s="80"/>
    </row>
    <row r="50" spans="1:12" ht="12.75" customHeight="1">
      <c r="A50" s="477"/>
      <c r="B50" s="506" t="s">
        <v>120</v>
      </c>
      <c r="C50" s="490">
        <f>SUM(D50+G50+H50+I50)</f>
        <v>200000</v>
      </c>
      <c r="D50" s="491">
        <f>SUM(E50+F50)</f>
        <v>200000</v>
      </c>
      <c r="E50" s="491"/>
      <c r="F50" s="491">
        <v>200000</v>
      </c>
      <c r="G50" s="491">
        <f>ROUND((E50*0.34+F50*0.34),0)-68000</f>
        <v>0</v>
      </c>
      <c r="H50" s="491">
        <f>ROUND((E50*0.015),0)</f>
        <v>0</v>
      </c>
      <c r="I50" s="169">
        <v>0</v>
      </c>
      <c r="J50" s="403">
        <v>0</v>
      </c>
      <c r="K50" s="700" t="s">
        <v>137</v>
      </c>
      <c r="L50" s="80"/>
    </row>
    <row r="51" spans="1:12" ht="12.75">
      <c r="A51" s="477"/>
      <c r="B51" s="527" t="s">
        <v>158</v>
      </c>
      <c r="C51" s="510">
        <f>SUM(D51+G51+H51+I51)</f>
        <v>200000</v>
      </c>
      <c r="D51" s="511">
        <f>SUM(E51+F51)</f>
        <v>0</v>
      </c>
      <c r="E51" s="511"/>
      <c r="F51" s="511"/>
      <c r="G51" s="511">
        <f>ROUND((E51*0.34+F51*0.34),0)</f>
        <v>0</v>
      </c>
      <c r="H51" s="511">
        <f>ROUND((E51*0.015),0)</f>
        <v>0</v>
      </c>
      <c r="I51" s="165">
        <v>200000</v>
      </c>
      <c r="J51" s="512">
        <v>0</v>
      </c>
      <c r="K51" s="705" t="s">
        <v>218</v>
      </c>
      <c r="L51" s="80"/>
    </row>
    <row r="52" spans="1:12" ht="15" thickBot="1">
      <c r="A52" s="467"/>
      <c r="B52" s="652" t="s">
        <v>241</v>
      </c>
      <c r="C52" s="653">
        <f>SUM(C49:C51)</f>
        <v>2050000</v>
      </c>
      <c r="D52" s="654">
        <f aca="true" t="shared" si="12" ref="D52:J52">SUM(D49:D51)</f>
        <v>850000</v>
      </c>
      <c r="E52" s="654">
        <f t="shared" si="12"/>
        <v>0</v>
      </c>
      <c r="F52" s="654">
        <f t="shared" si="12"/>
        <v>850000</v>
      </c>
      <c r="G52" s="655">
        <f t="shared" si="12"/>
        <v>184000</v>
      </c>
      <c r="H52" s="655">
        <f t="shared" si="12"/>
        <v>0</v>
      </c>
      <c r="I52" s="655">
        <f t="shared" si="12"/>
        <v>1016000</v>
      </c>
      <c r="J52" s="656">
        <f t="shared" si="12"/>
        <v>0</v>
      </c>
      <c r="K52" s="706"/>
      <c r="L52" s="80"/>
    </row>
    <row r="53" spans="1:14" ht="12.75" customHeight="1">
      <c r="A53" s="477"/>
      <c r="B53" s="641"/>
      <c r="C53" s="642"/>
      <c r="D53" s="643"/>
      <c r="E53" s="418"/>
      <c r="F53" s="418"/>
      <c r="G53" s="418"/>
      <c r="H53" s="523"/>
      <c r="I53" s="523"/>
      <c r="J53" s="644"/>
      <c r="K53" s="703"/>
      <c r="L53" s="80"/>
      <c r="N53" s="640"/>
    </row>
    <row r="54" spans="1:15" ht="12.75">
      <c r="A54" s="477"/>
      <c r="B54" s="616" t="s">
        <v>140</v>
      </c>
      <c r="C54" s="524"/>
      <c r="D54" s="525"/>
      <c r="E54" s="594"/>
      <c r="F54" s="594"/>
      <c r="G54" s="594"/>
      <c r="H54" s="525"/>
      <c r="I54" s="487"/>
      <c r="J54" s="526"/>
      <c r="K54" s="704"/>
      <c r="L54" s="80"/>
      <c r="N54" s="640"/>
      <c r="O54" s="640"/>
    </row>
    <row r="55" spans="1:12" ht="12.75">
      <c r="A55" s="477"/>
      <c r="B55" s="506" t="s">
        <v>138</v>
      </c>
      <c r="C55" s="490">
        <f aca="true" t="shared" si="13" ref="C55:C63">SUM(D55+G55+H55+I55)</f>
        <v>3159783</v>
      </c>
      <c r="D55" s="491">
        <f aca="true" t="shared" si="14" ref="D55:D62">SUM(E55+F55)</f>
        <v>475000</v>
      </c>
      <c r="E55" s="491">
        <v>134000</v>
      </c>
      <c r="F55" s="231">
        <v>341000</v>
      </c>
      <c r="G55" s="491">
        <f>ROUND((E55*0.34+F55*0.34),0)-115500</f>
        <v>46000</v>
      </c>
      <c r="H55" s="491">
        <f>ROUND((E55*0.015),0)-340</f>
        <v>1670</v>
      </c>
      <c r="I55" s="169">
        <v>2637113</v>
      </c>
      <c r="J55" s="403"/>
      <c r="K55" s="700" t="s">
        <v>126</v>
      </c>
      <c r="L55" s="80"/>
    </row>
    <row r="56" spans="1:12" ht="12.75">
      <c r="A56" s="477"/>
      <c r="B56" s="506" t="s">
        <v>93</v>
      </c>
      <c r="C56" s="490">
        <f t="shared" si="13"/>
        <v>7684044</v>
      </c>
      <c r="D56" s="491">
        <f t="shared" si="14"/>
        <v>0</v>
      </c>
      <c r="E56" s="491"/>
      <c r="F56" s="491"/>
      <c r="G56" s="491">
        <f aca="true" t="shared" si="15" ref="G56:G62">ROUND((E56*0.34+F56*0.34),0)</f>
        <v>0</v>
      </c>
      <c r="H56" s="491">
        <f aca="true" t="shared" si="16" ref="H56:H62">ROUND((E56*0.015),0)</f>
        <v>0</v>
      </c>
      <c r="I56" s="169">
        <v>7684044</v>
      </c>
      <c r="J56" s="403">
        <v>0</v>
      </c>
      <c r="K56" s="699" t="s">
        <v>126</v>
      </c>
      <c r="L56" s="80"/>
    </row>
    <row r="57" spans="1:14" ht="12.75">
      <c r="A57" s="477"/>
      <c r="B57" s="506" t="s">
        <v>102</v>
      </c>
      <c r="C57" s="490">
        <f t="shared" si="13"/>
        <v>1085000</v>
      </c>
      <c r="D57" s="491">
        <f t="shared" si="14"/>
        <v>0</v>
      </c>
      <c r="E57" s="491"/>
      <c r="F57" s="491"/>
      <c r="G57" s="491">
        <f t="shared" si="15"/>
        <v>0</v>
      </c>
      <c r="H57" s="491">
        <f t="shared" si="16"/>
        <v>0</v>
      </c>
      <c r="I57" s="169">
        <v>1085000</v>
      </c>
      <c r="J57" s="403">
        <v>0</v>
      </c>
      <c r="K57" s="699" t="s">
        <v>126</v>
      </c>
      <c r="L57" s="80"/>
      <c r="N57" s="640"/>
    </row>
    <row r="58" spans="1:12" ht="12.75">
      <c r="A58" s="477"/>
      <c r="B58" s="506" t="s">
        <v>131</v>
      </c>
      <c r="C58" s="490">
        <f t="shared" si="13"/>
        <v>300000</v>
      </c>
      <c r="D58" s="491">
        <f t="shared" si="14"/>
        <v>0</v>
      </c>
      <c r="E58" s="491"/>
      <c r="F58" s="491"/>
      <c r="G58" s="491">
        <f t="shared" si="15"/>
        <v>0</v>
      </c>
      <c r="H58" s="491">
        <f t="shared" si="16"/>
        <v>0</v>
      </c>
      <c r="I58" s="169">
        <v>300000</v>
      </c>
      <c r="J58" s="403">
        <v>0</v>
      </c>
      <c r="K58" s="699" t="s">
        <v>126</v>
      </c>
      <c r="L58" s="80"/>
    </row>
    <row r="59" spans="1:12" ht="12.75">
      <c r="A59" s="477"/>
      <c r="B59" s="506" t="s">
        <v>89</v>
      </c>
      <c r="C59" s="490">
        <f t="shared" si="13"/>
        <v>3693000</v>
      </c>
      <c r="D59" s="491">
        <f t="shared" si="14"/>
        <v>0</v>
      </c>
      <c r="E59" s="491"/>
      <c r="F59" s="491"/>
      <c r="G59" s="491">
        <f t="shared" si="15"/>
        <v>0</v>
      </c>
      <c r="H59" s="491">
        <f t="shared" si="16"/>
        <v>0</v>
      </c>
      <c r="I59" s="169">
        <v>3693000</v>
      </c>
      <c r="J59" s="403">
        <v>0</v>
      </c>
      <c r="K59" s="699" t="s">
        <v>126</v>
      </c>
      <c r="L59" s="80"/>
    </row>
    <row r="60" spans="1:12" ht="12.75">
      <c r="A60" s="477"/>
      <c r="B60" s="506" t="s">
        <v>91</v>
      </c>
      <c r="C60" s="490">
        <f t="shared" si="13"/>
        <v>1126000</v>
      </c>
      <c r="D60" s="491">
        <f t="shared" si="14"/>
        <v>0</v>
      </c>
      <c r="E60" s="491"/>
      <c r="F60" s="491"/>
      <c r="G60" s="491">
        <f t="shared" si="15"/>
        <v>0</v>
      </c>
      <c r="H60" s="491">
        <f t="shared" si="16"/>
        <v>0</v>
      </c>
      <c r="I60" s="169">
        <v>1126000</v>
      </c>
      <c r="J60" s="403">
        <v>0</v>
      </c>
      <c r="K60" s="699" t="s">
        <v>126</v>
      </c>
      <c r="L60" s="80"/>
    </row>
    <row r="61" spans="1:12" ht="12.75">
      <c r="A61" s="477"/>
      <c r="B61" s="527" t="s">
        <v>266</v>
      </c>
      <c r="C61" s="490">
        <f t="shared" si="13"/>
        <v>235000</v>
      </c>
      <c r="D61" s="491">
        <f t="shared" si="14"/>
        <v>0</v>
      </c>
      <c r="E61" s="491"/>
      <c r="F61" s="491"/>
      <c r="G61" s="491">
        <f t="shared" si="15"/>
        <v>0</v>
      </c>
      <c r="H61" s="491">
        <f t="shared" si="16"/>
        <v>0</v>
      </c>
      <c r="I61" s="169">
        <v>235000</v>
      </c>
      <c r="J61" s="403">
        <v>0</v>
      </c>
      <c r="K61" s="699" t="s">
        <v>126</v>
      </c>
      <c r="L61" s="80"/>
    </row>
    <row r="62" spans="1:12" ht="12.75">
      <c r="A62" s="477"/>
      <c r="B62" s="506" t="s">
        <v>90</v>
      </c>
      <c r="C62" s="490">
        <f t="shared" si="13"/>
        <v>3214000</v>
      </c>
      <c r="D62" s="491">
        <f t="shared" si="14"/>
        <v>0</v>
      </c>
      <c r="E62" s="491"/>
      <c r="F62" s="491"/>
      <c r="G62" s="491">
        <f t="shared" si="15"/>
        <v>0</v>
      </c>
      <c r="H62" s="491">
        <f t="shared" si="16"/>
        <v>0</v>
      </c>
      <c r="I62" s="169">
        <v>3214000</v>
      </c>
      <c r="J62" s="403">
        <v>0</v>
      </c>
      <c r="K62" s="701" t="s">
        <v>126</v>
      </c>
      <c r="L62" s="80"/>
    </row>
    <row r="63" spans="1:12" ht="13.5" thickBot="1">
      <c r="A63" s="477"/>
      <c r="B63" s="520" t="s">
        <v>139</v>
      </c>
      <c r="C63" s="521">
        <f t="shared" si="13"/>
        <v>20496827</v>
      </c>
      <c r="D63" s="515">
        <f>SUM(D55:D62)</f>
        <v>475000</v>
      </c>
      <c r="E63" s="515">
        <f aca="true" t="shared" si="17" ref="E63:J63">SUM(E55:E62)</f>
        <v>134000</v>
      </c>
      <c r="F63" s="515">
        <f t="shared" si="17"/>
        <v>341000</v>
      </c>
      <c r="G63" s="515">
        <f t="shared" si="17"/>
        <v>46000</v>
      </c>
      <c r="H63" s="515">
        <f t="shared" si="17"/>
        <v>1670</v>
      </c>
      <c r="I63" s="515">
        <f t="shared" si="17"/>
        <v>19974157</v>
      </c>
      <c r="J63" s="522">
        <f t="shared" si="17"/>
        <v>0</v>
      </c>
      <c r="K63" s="707"/>
      <c r="L63" s="80"/>
    </row>
    <row r="64" spans="1:12" ht="12.75">
      <c r="A64" s="477"/>
      <c r="B64" s="517"/>
      <c r="C64" s="518"/>
      <c r="D64" s="523"/>
      <c r="E64" s="418"/>
      <c r="F64" s="418"/>
      <c r="G64" s="418"/>
      <c r="H64" s="418"/>
      <c r="I64" s="418"/>
      <c r="J64" s="420"/>
      <c r="K64" s="703"/>
      <c r="L64" s="80"/>
    </row>
    <row r="65" spans="1:12" ht="14.25">
      <c r="A65" s="467"/>
      <c r="B65" s="486" t="s">
        <v>244</v>
      </c>
      <c r="C65" s="524"/>
      <c r="D65" s="525"/>
      <c r="E65" s="525"/>
      <c r="F65" s="525"/>
      <c r="G65" s="525"/>
      <c r="H65" s="525"/>
      <c r="I65" s="487"/>
      <c r="J65" s="526"/>
      <c r="K65" s="708"/>
      <c r="L65" s="80"/>
    </row>
    <row r="66" spans="1:12" ht="12.75">
      <c r="A66" s="477"/>
      <c r="B66" s="152" t="s">
        <v>19</v>
      </c>
      <c r="C66" s="490">
        <f aca="true" t="shared" si="18" ref="C66:C71">D66+G66+H66+I66</f>
        <v>2433000</v>
      </c>
      <c r="D66" s="181">
        <f aca="true" t="shared" si="19" ref="D66:D71">SUM(E66+F66)</f>
        <v>378448</v>
      </c>
      <c r="E66" s="169">
        <v>128448</v>
      </c>
      <c r="F66" s="169">
        <v>250000</v>
      </c>
      <c r="G66" s="169">
        <f>ROUND((E66*0.34)+(F66*0.34),0)</f>
        <v>128672</v>
      </c>
      <c r="H66" s="169">
        <f aca="true" t="shared" si="20" ref="H66:H71">ROUND((E66*0.015),0)</f>
        <v>1927</v>
      </c>
      <c r="I66" s="169">
        <v>1923953</v>
      </c>
      <c r="J66" s="492">
        <v>0.67</v>
      </c>
      <c r="K66" s="709"/>
      <c r="L66" s="80"/>
    </row>
    <row r="67" spans="1:12" ht="12.75">
      <c r="A67" s="477"/>
      <c r="B67" s="152" t="s">
        <v>99</v>
      </c>
      <c r="C67" s="490">
        <f t="shared" si="18"/>
        <v>1424000</v>
      </c>
      <c r="D67" s="181">
        <f t="shared" si="19"/>
        <v>848000</v>
      </c>
      <c r="E67" s="169">
        <v>492000</v>
      </c>
      <c r="F67" s="169">
        <v>356000</v>
      </c>
      <c r="G67" s="169">
        <f>ROUND((E67*0.34)+(F67*0.34),0)-100320</f>
        <v>188000</v>
      </c>
      <c r="H67" s="169">
        <f t="shared" si="20"/>
        <v>7380</v>
      </c>
      <c r="I67" s="169">
        <v>380620</v>
      </c>
      <c r="J67" s="492">
        <v>1.8</v>
      </c>
      <c r="K67" s="709"/>
      <c r="L67" s="80"/>
    </row>
    <row r="68" spans="1:12" ht="12.75">
      <c r="A68" s="477"/>
      <c r="B68" s="152" t="s">
        <v>248</v>
      </c>
      <c r="C68" s="490">
        <f t="shared" si="18"/>
        <v>5391749</v>
      </c>
      <c r="D68" s="181">
        <f t="shared" si="19"/>
        <v>3158000</v>
      </c>
      <c r="E68" s="169">
        <v>0</v>
      </c>
      <c r="F68" s="169">
        <v>3158000</v>
      </c>
      <c r="G68" s="169">
        <f>ROUND((E68*0.34)+(F68*0.34),0)-1073720</f>
        <v>0</v>
      </c>
      <c r="H68" s="169">
        <f t="shared" si="20"/>
        <v>0</v>
      </c>
      <c r="I68" s="169">
        <f>2711749-478000</f>
        <v>2233749</v>
      </c>
      <c r="J68" s="492"/>
      <c r="K68" s="709"/>
      <c r="L68" s="80"/>
    </row>
    <row r="69" spans="1:12" ht="12.75">
      <c r="A69" s="477"/>
      <c r="B69" s="152" t="s">
        <v>59</v>
      </c>
      <c r="C69" s="490">
        <f t="shared" si="18"/>
        <v>7336950</v>
      </c>
      <c r="D69" s="181">
        <f t="shared" si="19"/>
        <v>4278500</v>
      </c>
      <c r="E69" s="169">
        <v>0</v>
      </c>
      <c r="F69" s="169">
        <v>4278500</v>
      </c>
      <c r="G69" s="169">
        <f>ROUND((E69*0.34)+(F69*0.34),0)-296690</f>
        <v>1158000</v>
      </c>
      <c r="H69" s="169">
        <f t="shared" si="20"/>
        <v>0</v>
      </c>
      <c r="I69" s="169">
        <v>1900450</v>
      </c>
      <c r="J69" s="492"/>
      <c r="K69" s="709"/>
      <c r="L69" s="80"/>
    </row>
    <row r="70" spans="1:12" ht="12.75">
      <c r="A70" s="477"/>
      <c r="B70" s="152" t="s">
        <v>247</v>
      </c>
      <c r="C70" s="490">
        <f t="shared" si="18"/>
        <v>150000</v>
      </c>
      <c r="D70" s="181">
        <f t="shared" si="19"/>
        <v>75000</v>
      </c>
      <c r="E70" s="169">
        <v>0</v>
      </c>
      <c r="F70" s="169">
        <v>75000</v>
      </c>
      <c r="G70" s="169">
        <f>ROUND((E70*0.34)+(F70*0.34),0)-25500</f>
        <v>0</v>
      </c>
      <c r="H70" s="169">
        <f t="shared" si="20"/>
        <v>0</v>
      </c>
      <c r="I70" s="169">
        <v>75000</v>
      </c>
      <c r="J70" s="492"/>
      <c r="K70" s="709"/>
      <c r="L70" s="80"/>
    </row>
    <row r="71" spans="1:12" ht="12.75">
      <c r="A71" s="477"/>
      <c r="B71" s="152" t="s">
        <v>84</v>
      </c>
      <c r="C71" s="490">
        <f t="shared" si="18"/>
        <v>43010000</v>
      </c>
      <c r="D71" s="181">
        <f t="shared" si="19"/>
        <v>0</v>
      </c>
      <c r="E71" s="169"/>
      <c r="F71" s="169"/>
      <c r="G71" s="169">
        <f>ROUND((E71*0.34)+(F71*0.34),0)</f>
        <v>0</v>
      </c>
      <c r="H71" s="169">
        <f t="shared" si="20"/>
        <v>0</v>
      </c>
      <c r="I71" s="169">
        <v>43010000</v>
      </c>
      <c r="J71" s="492"/>
      <c r="K71" s="709"/>
      <c r="L71" s="80"/>
    </row>
    <row r="72" spans="1:12" ht="13.5" thickBot="1">
      <c r="A72" s="477"/>
      <c r="B72" s="520" t="s">
        <v>246</v>
      </c>
      <c r="C72" s="521">
        <f>SUM(C66:C71)</f>
        <v>59745699</v>
      </c>
      <c r="D72" s="598">
        <f aca="true" t="shared" si="21" ref="D72:J72">SUM(D66:D71)</f>
        <v>8737948</v>
      </c>
      <c r="E72" s="515">
        <f t="shared" si="21"/>
        <v>620448</v>
      </c>
      <c r="F72" s="515">
        <f t="shared" si="21"/>
        <v>8117500</v>
      </c>
      <c r="G72" s="515">
        <f t="shared" si="21"/>
        <v>1474672</v>
      </c>
      <c r="H72" s="515">
        <f t="shared" si="21"/>
        <v>9307</v>
      </c>
      <c r="I72" s="515">
        <f t="shared" si="21"/>
        <v>49523772</v>
      </c>
      <c r="J72" s="516">
        <f t="shared" si="21"/>
        <v>2.47</v>
      </c>
      <c r="K72" s="710"/>
      <c r="L72" s="80"/>
    </row>
    <row r="73" spans="1:12" ht="14.25" customHeight="1" thickBot="1">
      <c r="A73" s="477"/>
      <c r="B73" s="412" t="s">
        <v>245</v>
      </c>
      <c r="C73" s="651">
        <f>D73+G73+H73+I73</f>
        <v>14410318</v>
      </c>
      <c r="D73" s="409">
        <f>SUM(E73+F73)</f>
        <v>9700535</v>
      </c>
      <c r="E73" s="410">
        <v>5887235</v>
      </c>
      <c r="F73" s="410">
        <v>3813300</v>
      </c>
      <c r="G73" s="406">
        <v>2326960</v>
      </c>
      <c r="H73" s="409">
        <v>88309</v>
      </c>
      <c r="I73" s="409">
        <v>2294514</v>
      </c>
      <c r="J73" s="407">
        <v>16.11</v>
      </c>
      <c r="K73" s="711" t="s">
        <v>98</v>
      </c>
      <c r="L73" s="80"/>
    </row>
    <row r="74" spans="1:12" ht="12.75">
      <c r="A74" s="477"/>
      <c r="B74" s="650"/>
      <c r="C74" s="524"/>
      <c r="D74" s="484"/>
      <c r="E74" s="484"/>
      <c r="F74" s="484"/>
      <c r="G74" s="176"/>
      <c r="H74" s="396">
        <f>ROUND((E74*0.015),0)</f>
        <v>0</v>
      </c>
      <c r="I74" s="484"/>
      <c r="J74" s="485"/>
      <c r="K74" s="712"/>
      <c r="L74" s="80"/>
    </row>
    <row r="75" spans="1:12" ht="14.25">
      <c r="A75" s="477"/>
      <c r="B75" s="528" t="s">
        <v>74</v>
      </c>
      <c r="C75" s="529"/>
      <c r="D75" s="530"/>
      <c r="E75" s="531"/>
      <c r="F75" s="532"/>
      <c r="G75" s="31"/>
      <c r="H75" s="323"/>
      <c r="I75" s="532"/>
      <c r="J75" s="488"/>
      <c r="K75" s="708"/>
      <c r="L75" s="80"/>
    </row>
    <row r="76" spans="1:12" ht="12.75">
      <c r="A76" s="477"/>
      <c r="B76" s="612" t="s">
        <v>108</v>
      </c>
      <c r="C76" s="490">
        <f>D76+G76+H76+I76</f>
        <v>2000000</v>
      </c>
      <c r="D76" s="491">
        <f aca="true" t="shared" si="22" ref="D76:D91">SUM(E76+F76)</f>
        <v>0</v>
      </c>
      <c r="E76" s="169"/>
      <c r="F76" s="169"/>
      <c r="G76" s="179">
        <f>ROUND((E76*0.34)+(F76*0.34),0)</f>
        <v>0</v>
      </c>
      <c r="H76" s="322">
        <f aca="true" t="shared" si="23" ref="H76:H85">ROUND((E76*0.015),0)</f>
        <v>0</v>
      </c>
      <c r="I76" s="169">
        <f>705650+1294350</f>
        <v>2000000</v>
      </c>
      <c r="J76" s="403"/>
      <c r="K76" s="713"/>
      <c r="L76" s="80"/>
    </row>
    <row r="77" spans="1:12" ht="12.75">
      <c r="A77" s="477"/>
      <c r="B77" s="506" t="s">
        <v>127</v>
      </c>
      <c r="C77" s="490">
        <f>SUM(D77+G77+H77+I77)</f>
        <v>4000000</v>
      </c>
      <c r="D77" s="491">
        <f t="shared" si="22"/>
        <v>0</v>
      </c>
      <c r="E77" s="491"/>
      <c r="F77" s="491"/>
      <c r="G77" s="491">
        <f>ROUND((E77*0.34+F77*0.34),0)</f>
        <v>0</v>
      </c>
      <c r="H77" s="491">
        <f t="shared" si="23"/>
        <v>0</v>
      </c>
      <c r="I77" s="169">
        <v>4000000</v>
      </c>
      <c r="J77" s="492"/>
      <c r="K77" s="713"/>
      <c r="L77" s="80"/>
    </row>
    <row r="78" spans="1:12" ht="12.75">
      <c r="A78" s="477"/>
      <c r="B78" s="611" t="s">
        <v>142</v>
      </c>
      <c r="C78" s="490">
        <f aca="true" t="shared" si="24" ref="C78:C84">D78+G78+H78+I78</f>
        <v>3387500</v>
      </c>
      <c r="D78" s="491">
        <f t="shared" si="22"/>
        <v>2500000</v>
      </c>
      <c r="E78" s="169">
        <v>2500000</v>
      </c>
      <c r="F78" s="169"/>
      <c r="G78" s="179">
        <f>ROUND((E78*0.34)+(F78*0.34),0)</f>
        <v>850000</v>
      </c>
      <c r="H78" s="322">
        <f t="shared" si="23"/>
        <v>37500</v>
      </c>
      <c r="I78" s="169"/>
      <c r="J78" s="492"/>
      <c r="K78" s="713"/>
      <c r="L78" s="80"/>
    </row>
    <row r="79" spans="1:12" ht="12.75">
      <c r="A79" s="477"/>
      <c r="B79" s="613" t="s">
        <v>201</v>
      </c>
      <c r="C79" s="490">
        <f t="shared" si="24"/>
        <v>175764</v>
      </c>
      <c r="D79" s="337">
        <f t="shared" si="22"/>
        <v>129715</v>
      </c>
      <c r="E79" s="392">
        <v>129715</v>
      </c>
      <c r="F79" s="392"/>
      <c r="G79" s="614">
        <f>ROUND((E79*0.34+F79*0.34),0)</f>
        <v>44103</v>
      </c>
      <c r="H79" s="614">
        <f t="shared" si="23"/>
        <v>1946</v>
      </c>
      <c r="I79" s="392"/>
      <c r="J79" s="399"/>
      <c r="K79" s="714" t="s">
        <v>202</v>
      </c>
      <c r="L79" s="180"/>
    </row>
    <row r="80" spans="1:12" ht="12.75">
      <c r="A80" s="477"/>
      <c r="B80" s="533" t="s">
        <v>203</v>
      </c>
      <c r="C80" s="490">
        <f t="shared" si="24"/>
        <v>3483500</v>
      </c>
      <c r="D80" s="491">
        <f t="shared" si="22"/>
        <v>2250000</v>
      </c>
      <c r="E80" s="181">
        <v>1800000</v>
      </c>
      <c r="F80" s="181">
        <v>450000</v>
      </c>
      <c r="G80" s="172">
        <f>ROUND((E80*0.34+F80*0.34),0)-76500</f>
        <v>688500</v>
      </c>
      <c r="H80" s="534">
        <f t="shared" si="23"/>
        <v>27000</v>
      </c>
      <c r="I80" s="181">
        <v>518000</v>
      </c>
      <c r="J80" s="535">
        <v>5</v>
      </c>
      <c r="K80" s="715"/>
      <c r="L80" s="180"/>
    </row>
    <row r="81" spans="1:14" ht="27" customHeight="1">
      <c r="A81" s="477"/>
      <c r="B81" s="533" t="s">
        <v>204</v>
      </c>
      <c r="C81" s="490">
        <f t="shared" si="24"/>
        <v>0</v>
      </c>
      <c r="D81" s="491">
        <f t="shared" si="22"/>
        <v>0</v>
      </c>
      <c r="E81" s="181"/>
      <c r="F81" s="181"/>
      <c r="G81" s="172">
        <f>ROUND((E81*0.34+F81*0.34),0)</f>
        <v>0</v>
      </c>
      <c r="H81" s="534">
        <f t="shared" si="23"/>
        <v>0</v>
      </c>
      <c r="I81" s="181"/>
      <c r="J81" s="535">
        <f>1+1</f>
        <v>2</v>
      </c>
      <c r="K81" s="715" t="s">
        <v>205</v>
      </c>
      <c r="L81" s="180"/>
      <c r="N81" s="211"/>
    </row>
    <row r="82" spans="1:12" ht="12.75">
      <c r="A82" s="477"/>
      <c r="B82" s="533" t="s">
        <v>270</v>
      </c>
      <c r="C82" s="490">
        <f t="shared" si="24"/>
        <v>686502</v>
      </c>
      <c r="D82" s="491">
        <f t="shared" si="22"/>
        <v>0</v>
      </c>
      <c r="E82" s="181"/>
      <c r="F82" s="181"/>
      <c r="G82" s="179">
        <f>ROUND((E82*0.34)+(F82*0.34),0)</f>
        <v>0</v>
      </c>
      <c r="H82" s="322">
        <f>ROUND((E82*0.015),0)</f>
        <v>0</v>
      </c>
      <c r="I82" s="491">
        <f>549502+137000</f>
        <v>686502</v>
      </c>
      <c r="J82" s="403"/>
      <c r="K82" s="715"/>
      <c r="L82" s="80"/>
    </row>
    <row r="83" spans="1:12" ht="12.75">
      <c r="A83" s="477"/>
      <c r="B83" s="527" t="s">
        <v>125</v>
      </c>
      <c r="C83" s="490">
        <f t="shared" si="24"/>
        <v>0</v>
      </c>
      <c r="D83" s="491">
        <f t="shared" si="22"/>
        <v>0</v>
      </c>
      <c r="E83" s="181"/>
      <c r="F83" s="181"/>
      <c r="G83" s="179">
        <f>ROUND((E83*0.34)+(F83*0.34),0)</f>
        <v>0</v>
      </c>
      <c r="H83" s="322">
        <f t="shared" si="23"/>
        <v>0</v>
      </c>
      <c r="I83" s="491"/>
      <c r="J83" s="403">
        <v>2</v>
      </c>
      <c r="K83" s="716"/>
      <c r="L83" s="80"/>
    </row>
    <row r="84" spans="1:12" ht="12.75">
      <c r="A84" s="477"/>
      <c r="B84" s="533" t="s">
        <v>242</v>
      </c>
      <c r="C84" s="490">
        <f t="shared" si="24"/>
        <v>500000</v>
      </c>
      <c r="D84" s="491">
        <f t="shared" si="22"/>
        <v>0</v>
      </c>
      <c r="E84" s="169"/>
      <c r="F84" s="169"/>
      <c r="G84" s="179">
        <f>ROUND((E84*0.34)+(F84*0.34),0)</f>
        <v>0</v>
      </c>
      <c r="H84" s="322">
        <f t="shared" si="23"/>
        <v>0</v>
      </c>
      <c r="I84" s="169">
        <v>500000</v>
      </c>
      <c r="J84" s="403"/>
      <c r="K84" s="713" t="s">
        <v>154</v>
      </c>
      <c r="L84" s="80"/>
    </row>
    <row r="85" spans="1:12" ht="38.25">
      <c r="A85" s="477"/>
      <c r="B85" s="527" t="s">
        <v>208</v>
      </c>
      <c r="C85" s="490">
        <f>SUM(D85+G85+H85+I85)</f>
        <v>1013000</v>
      </c>
      <c r="D85" s="491">
        <f t="shared" si="22"/>
        <v>0</v>
      </c>
      <c r="E85" s="491"/>
      <c r="F85" s="491"/>
      <c r="G85" s="491">
        <f>ROUND((E85*0.34+F85*0.34),0)</f>
        <v>0</v>
      </c>
      <c r="H85" s="491">
        <f t="shared" si="23"/>
        <v>0</v>
      </c>
      <c r="I85" s="169">
        <v>1013000</v>
      </c>
      <c r="J85" s="492"/>
      <c r="K85" s="700" t="s">
        <v>209</v>
      </c>
      <c r="L85" s="80"/>
    </row>
    <row r="86" spans="1:12" ht="12.75">
      <c r="A86" s="477"/>
      <c r="B86" s="621" t="s">
        <v>216</v>
      </c>
      <c r="C86" s="510">
        <f>D86+G86+H86+I86</f>
        <v>3300000</v>
      </c>
      <c r="D86" s="511">
        <f t="shared" si="22"/>
        <v>0</v>
      </c>
      <c r="E86" s="511"/>
      <c r="F86" s="511"/>
      <c r="G86" s="511"/>
      <c r="H86" s="511"/>
      <c r="I86" s="165">
        <v>3300000</v>
      </c>
      <c r="J86" s="399"/>
      <c r="K86" s="701"/>
      <c r="L86" s="80"/>
    </row>
    <row r="87" spans="1:12" ht="38.25">
      <c r="A87" s="477"/>
      <c r="B87" s="509" t="s">
        <v>148</v>
      </c>
      <c r="C87" s="510">
        <f>SUM(D87+G87+H87+I87)</f>
        <v>2000000</v>
      </c>
      <c r="D87" s="511">
        <f t="shared" si="22"/>
        <v>0</v>
      </c>
      <c r="E87" s="511"/>
      <c r="F87" s="511"/>
      <c r="G87" s="511">
        <f>ROUND((E87*0.34+F87*0.34),0)</f>
        <v>0</v>
      </c>
      <c r="H87" s="511">
        <f>ROUND((E87*0.015),0)</f>
        <v>0</v>
      </c>
      <c r="I87" s="165">
        <v>2000000</v>
      </c>
      <c r="J87" s="399"/>
      <c r="K87" s="717" t="s">
        <v>210</v>
      </c>
      <c r="L87" s="80"/>
    </row>
    <row r="88" spans="1:12" ht="12.75">
      <c r="A88" s="477"/>
      <c r="B88" s="533" t="s">
        <v>239</v>
      </c>
      <c r="C88" s="490">
        <f>D88+G88+H88+I88</f>
        <v>400000</v>
      </c>
      <c r="D88" s="491">
        <f t="shared" si="22"/>
        <v>0</v>
      </c>
      <c r="E88" s="169"/>
      <c r="F88" s="169"/>
      <c r="G88" s="179"/>
      <c r="H88" s="322"/>
      <c r="I88" s="169">
        <v>400000</v>
      </c>
      <c r="J88" s="403"/>
      <c r="K88" s="716" t="s">
        <v>240</v>
      </c>
      <c r="L88" s="80"/>
    </row>
    <row r="89" spans="1:12" ht="12.75">
      <c r="A89" s="477"/>
      <c r="B89" s="631" t="s">
        <v>113</v>
      </c>
      <c r="C89" s="633">
        <f>D89+G89+H89+I89</f>
        <v>784399</v>
      </c>
      <c r="D89" s="634">
        <f t="shared" si="22"/>
        <v>0</v>
      </c>
      <c r="E89" s="508"/>
      <c r="F89" s="508"/>
      <c r="G89" s="635">
        <f>ROUND((E89*0.34)+(F89*0.34),0)</f>
        <v>0</v>
      </c>
      <c r="H89" s="636">
        <f>ROUND((E89*0.015),0)</f>
        <v>0</v>
      </c>
      <c r="I89" s="634">
        <v>784399</v>
      </c>
      <c r="J89" s="638"/>
      <c r="K89" s="713"/>
      <c r="L89" s="80"/>
    </row>
    <row r="90" spans="1:12" ht="12.75">
      <c r="A90" s="477"/>
      <c r="B90" s="632" t="s">
        <v>135</v>
      </c>
      <c r="C90" s="633">
        <f>D90+G90+H90+I90</f>
        <v>33062184</v>
      </c>
      <c r="D90" s="634">
        <f t="shared" si="22"/>
        <v>9613876</v>
      </c>
      <c r="E90" s="508">
        <v>6402178</v>
      </c>
      <c r="F90" s="508">
        <v>3211698</v>
      </c>
      <c r="G90" s="635">
        <f>ROUND((E90*0.34)+(F90*0.34),0)</f>
        <v>3268718</v>
      </c>
      <c r="H90" s="636">
        <f>ROUND((E90*0.015),0)</f>
        <v>96033</v>
      </c>
      <c r="I90" s="508">
        <v>20083557</v>
      </c>
      <c r="J90" s="637">
        <f>7.4+2.1</f>
        <v>9.5</v>
      </c>
      <c r="K90" s="709"/>
      <c r="L90" s="80"/>
    </row>
    <row r="91" spans="1:12" ht="12.75">
      <c r="A91" s="477"/>
      <c r="B91" s="631" t="s">
        <v>74</v>
      </c>
      <c r="C91" s="633">
        <f>D91+G91+H91+I91</f>
        <v>18541184</v>
      </c>
      <c r="D91" s="634">
        <f t="shared" si="22"/>
        <v>0</v>
      </c>
      <c r="E91" s="508"/>
      <c r="F91" s="508"/>
      <c r="G91" s="635">
        <f>ROUND((E91*0.34)+(F91*0.34),0)-1458816</f>
        <v>-1458816</v>
      </c>
      <c r="H91" s="636">
        <f>ROUND((E91*0.015),0)</f>
        <v>0</v>
      </c>
      <c r="I91" s="508">
        <v>20000000</v>
      </c>
      <c r="J91" s="637"/>
      <c r="K91" s="709"/>
      <c r="L91" s="80"/>
    </row>
    <row r="92" spans="1:12" ht="21" customHeight="1" thickBot="1">
      <c r="A92" s="467"/>
      <c r="B92" s="536" t="s">
        <v>52</v>
      </c>
      <c r="C92" s="537">
        <f aca="true" t="shared" si="25" ref="C92:J92">SUM(C76:C91)</f>
        <v>73334033</v>
      </c>
      <c r="D92" s="383">
        <f t="shared" si="25"/>
        <v>14493591</v>
      </c>
      <c r="E92" s="383">
        <f t="shared" si="25"/>
        <v>10831893</v>
      </c>
      <c r="F92" s="383">
        <f t="shared" si="25"/>
        <v>3661698</v>
      </c>
      <c r="G92" s="383">
        <f t="shared" si="25"/>
        <v>3392505</v>
      </c>
      <c r="H92" s="383">
        <f t="shared" si="25"/>
        <v>162479</v>
      </c>
      <c r="I92" s="383">
        <f t="shared" si="25"/>
        <v>55285458</v>
      </c>
      <c r="J92" s="538">
        <f t="shared" si="25"/>
        <v>18.5</v>
      </c>
      <c r="K92" s="718"/>
      <c r="L92" s="80"/>
    </row>
    <row r="93" spans="1:12" ht="17.25" customHeight="1" thickBot="1" thickTop="1">
      <c r="A93" s="467"/>
      <c r="B93" s="539" t="s">
        <v>73</v>
      </c>
      <c r="C93" s="540">
        <f aca="true" t="shared" si="26" ref="C93:J93">SUM(C19+C29+C45+C63+C72+C73+C92+C52)</f>
        <v>686579091</v>
      </c>
      <c r="D93" s="541">
        <f t="shared" si="26"/>
        <v>248626768</v>
      </c>
      <c r="E93" s="541">
        <f t="shared" si="26"/>
        <v>176232735</v>
      </c>
      <c r="F93" s="541">
        <f t="shared" si="26"/>
        <v>72394033</v>
      </c>
      <c r="G93" s="542">
        <f t="shared" si="26"/>
        <v>77019654</v>
      </c>
      <c r="H93" s="542">
        <f t="shared" si="26"/>
        <v>2630051</v>
      </c>
      <c r="I93" s="542">
        <f t="shared" si="26"/>
        <v>358302618</v>
      </c>
      <c r="J93" s="543">
        <f t="shared" si="26"/>
        <v>562</v>
      </c>
      <c r="K93" s="719"/>
      <c r="L93" s="80"/>
    </row>
    <row r="94" spans="1:12" ht="28.5" customHeight="1" thickBot="1">
      <c r="A94" s="477"/>
      <c r="B94" s="545" t="s">
        <v>206</v>
      </c>
      <c r="C94" s="546">
        <f>D94+G94+H94+I94</f>
        <v>686484547</v>
      </c>
      <c r="D94" s="547">
        <f>E94+F94</f>
        <v>248626768</v>
      </c>
      <c r="E94" s="548">
        <f aca="true" t="shared" si="27" ref="E94:J94">E97-E98</f>
        <v>176232735</v>
      </c>
      <c r="F94" s="548">
        <f t="shared" si="27"/>
        <v>72394033</v>
      </c>
      <c r="G94" s="548">
        <f t="shared" si="27"/>
        <v>77019654</v>
      </c>
      <c r="H94" s="548">
        <f t="shared" si="27"/>
        <v>2535507</v>
      </c>
      <c r="I94" s="548">
        <f t="shared" si="27"/>
        <v>358302618</v>
      </c>
      <c r="J94" s="549">
        <f t="shared" si="27"/>
        <v>562</v>
      </c>
      <c r="K94" s="720"/>
      <c r="L94" s="80"/>
    </row>
    <row r="95" spans="1:12" ht="26.25" thickBot="1">
      <c r="A95" s="550"/>
      <c r="B95" s="551" t="s">
        <v>33</v>
      </c>
      <c r="C95" s="552">
        <f>SUM(C94-C93)</f>
        <v>-94544</v>
      </c>
      <c r="D95" s="410">
        <f>SUM(D94-D93)</f>
        <v>0</v>
      </c>
      <c r="E95" s="410">
        <f aca="true" t="shared" si="28" ref="E95:J95">SUM(E94-E93)</f>
        <v>0</v>
      </c>
      <c r="F95" s="553">
        <f t="shared" si="28"/>
        <v>0</v>
      </c>
      <c r="G95" s="410">
        <f t="shared" si="28"/>
        <v>0</v>
      </c>
      <c r="H95" s="410">
        <f t="shared" si="28"/>
        <v>-94544</v>
      </c>
      <c r="I95" s="409">
        <f t="shared" si="28"/>
        <v>0</v>
      </c>
      <c r="J95" s="554">
        <f t="shared" si="28"/>
        <v>0</v>
      </c>
      <c r="K95" s="719"/>
      <c r="L95" s="80"/>
    </row>
    <row r="96" spans="1:12" ht="12.75">
      <c r="A96" s="550"/>
      <c r="B96" s="623"/>
      <c r="C96" s="624"/>
      <c r="D96" s="624"/>
      <c r="E96" s="624"/>
      <c r="F96" s="624"/>
      <c r="G96" s="624"/>
      <c r="H96" s="624"/>
      <c r="I96" s="519"/>
      <c r="J96" s="625"/>
      <c r="K96" s="625"/>
      <c r="L96" s="80"/>
    </row>
    <row r="97" spans="1:12" ht="12.75">
      <c r="A97" s="477"/>
      <c r="B97" s="180" t="s">
        <v>118</v>
      </c>
      <c r="C97" s="389">
        <f>D97+G97+H97+I97</f>
        <v>733938547</v>
      </c>
      <c r="D97" s="389">
        <f>E97+F97</f>
        <v>257276768</v>
      </c>
      <c r="E97" s="389">
        <v>184882735</v>
      </c>
      <c r="F97" s="389">
        <v>72394033</v>
      </c>
      <c r="G97" s="389">
        <v>79960654</v>
      </c>
      <c r="H97" s="389">
        <v>2665257</v>
      </c>
      <c r="I97" s="389">
        <v>394035868</v>
      </c>
      <c r="J97" s="555">
        <v>608</v>
      </c>
      <c r="K97" s="80"/>
      <c r="L97" s="389"/>
    </row>
    <row r="98" spans="1:12" ht="12.75">
      <c r="A98" s="477"/>
      <c r="B98" s="180" t="s">
        <v>117</v>
      </c>
      <c r="C98" s="389">
        <f>D98+G98+H98+I98</f>
        <v>47454000</v>
      </c>
      <c r="D98" s="389">
        <f>E98+F98</f>
        <v>8650000</v>
      </c>
      <c r="E98" s="389">
        <v>8650000</v>
      </c>
      <c r="F98" s="389">
        <v>0</v>
      </c>
      <c r="G98" s="389">
        <v>2941000</v>
      </c>
      <c r="H98" s="389">
        <v>129750</v>
      </c>
      <c r="I98" s="389">
        <f>29376500+6400000-43250</f>
        <v>35733250</v>
      </c>
      <c r="J98" s="555">
        <v>46</v>
      </c>
      <c r="K98" s="80"/>
      <c r="L98" s="389"/>
    </row>
    <row r="99" spans="1:12" ht="12.75">
      <c r="A99" s="477"/>
      <c r="B99" s="180"/>
      <c r="C99" s="389"/>
      <c r="D99" s="389"/>
      <c r="E99" s="389"/>
      <c r="F99" s="389"/>
      <c r="G99" s="389"/>
      <c r="H99" s="389"/>
      <c r="I99" s="389"/>
      <c r="J99" s="555"/>
      <c r="K99" s="80"/>
      <c r="L99" s="389"/>
    </row>
    <row r="100" spans="1:12" ht="12.75">
      <c r="A100" s="477"/>
      <c r="B100" s="180"/>
      <c r="C100" s="389"/>
      <c r="D100" s="389"/>
      <c r="E100" s="389"/>
      <c r="F100" s="389"/>
      <c r="G100" s="389"/>
      <c r="H100" s="389"/>
      <c r="I100" s="389"/>
      <c r="J100" s="555"/>
      <c r="K100" s="80"/>
      <c r="L100" s="389"/>
    </row>
    <row r="101" spans="1:12" ht="12.75">
      <c r="A101" s="477"/>
      <c r="B101" s="180"/>
      <c r="C101" s="389"/>
      <c r="D101" s="389"/>
      <c r="E101" s="389"/>
      <c r="F101" s="389"/>
      <c r="G101" s="389"/>
      <c r="H101" s="389"/>
      <c r="I101" s="389"/>
      <c r="J101" s="555"/>
      <c r="K101" s="80"/>
      <c r="L101" s="389"/>
    </row>
    <row r="102" spans="1:12" ht="12.75">
      <c r="A102" s="477"/>
      <c r="B102" s="180"/>
      <c r="C102" s="389"/>
      <c r="D102" s="389"/>
      <c r="E102" s="389"/>
      <c r="F102" s="389"/>
      <c r="G102" s="389"/>
      <c r="H102" s="389"/>
      <c r="I102" s="389"/>
      <c r="J102" s="555"/>
      <c r="K102" s="80"/>
      <c r="L102" s="389"/>
    </row>
    <row r="103" spans="1:12" ht="12.75">
      <c r="A103" s="477"/>
      <c r="B103" s="80"/>
      <c r="C103" s="389"/>
      <c r="D103" s="389"/>
      <c r="E103" s="389"/>
      <c r="F103" s="389"/>
      <c r="G103" s="389"/>
      <c r="H103" s="389"/>
      <c r="I103" s="389"/>
      <c r="J103" s="556"/>
      <c r="K103" s="80"/>
      <c r="L103" s="389"/>
    </row>
    <row r="104" spans="1:12" ht="15.75">
      <c r="A104" s="80"/>
      <c r="B104" s="557" t="s">
        <v>153</v>
      </c>
      <c r="C104" s="556"/>
      <c r="D104" s="556"/>
      <c r="E104" s="556"/>
      <c r="F104" s="556"/>
      <c r="G104" s="556"/>
      <c r="H104" s="556"/>
      <c r="I104" s="556"/>
      <c r="J104" s="80"/>
      <c r="K104" s="80"/>
      <c r="L104" s="389"/>
    </row>
    <row r="105" spans="1:12" ht="15">
      <c r="A105" s="477"/>
      <c r="B105" s="558" t="s">
        <v>136</v>
      </c>
      <c r="C105" s="524"/>
      <c r="D105" s="525"/>
      <c r="E105" s="525"/>
      <c r="F105" s="525"/>
      <c r="G105" s="525"/>
      <c r="H105" s="525"/>
      <c r="I105" s="487"/>
      <c r="J105" s="526"/>
      <c r="K105" s="704"/>
      <c r="L105" s="180"/>
    </row>
    <row r="106" spans="1:12" ht="25.5">
      <c r="A106" s="477"/>
      <c r="B106" s="559" t="s">
        <v>143</v>
      </c>
      <c r="C106" s="490">
        <f>SUM(D106+G106+H106+I106)</f>
        <v>163000</v>
      </c>
      <c r="D106" s="491">
        <f>SUM(E106+F106)</f>
        <v>0</v>
      </c>
      <c r="E106" s="491"/>
      <c r="F106" s="491"/>
      <c r="G106" s="491">
        <f>ROUND((E106*0.34+F106*0.34),0)</f>
        <v>0</v>
      </c>
      <c r="H106" s="491">
        <f>ROUND((E106*0.015),0)</f>
        <v>0</v>
      </c>
      <c r="I106" s="169">
        <v>163000</v>
      </c>
      <c r="J106" s="492"/>
      <c r="K106" s="721" t="s">
        <v>207</v>
      </c>
      <c r="L106" s="80"/>
    </row>
    <row r="107" spans="1:12" ht="25.5">
      <c r="A107" s="477"/>
      <c r="B107" s="559" t="s">
        <v>144</v>
      </c>
      <c r="C107" s="490">
        <f>SUM(D107+G107+H107+I107)</f>
        <v>700000</v>
      </c>
      <c r="D107" s="491">
        <f>SUM(E107+F107)</f>
        <v>0</v>
      </c>
      <c r="E107" s="491"/>
      <c r="F107" s="491"/>
      <c r="G107" s="491">
        <f>ROUND((E107*0.34+F107*0.34),0)</f>
        <v>0</v>
      </c>
      <c r="H107" s="491">
        <f>ROUND((E107*0.015),0)</f>
        <v>0</v>
      </c>
      <c r="I107" s="169">
        <v>700000</v>
      </c>
      <c r="J107" s="492"/>
      <c r="K107" s="721" t="s">
        <v>243</v>
      </c>
      <c r="L107" s="80"/>
    </row>
    <row r="108" spans="1:12" ht="25.5">
      <c r="A108" s="477"/>
      <c r="B108" s="559" t="s">
        <v>146</v>
      </c>
      <c r="C108" s="490">
        <f>SUM(D108+G108+H108+I108)</f>
        <v>987464</v>
      </c>
      <c r="D108" s="491">
        <f>SUM(E108+F108)</f>
        <v>416640</v>
      </c>
      <c r="E108" s="491">
        <v>416640</v>
      </c>
      <c r="F108" s="491"/>
      <c r="G108" s="491">
        <f>ROUND((E108*0.34+F108*0.34),0)</f>
        <v>141658</v>
      </c>
      <c r="H108" s="491">
        <f>ROUND((E108*0.015),0)</f>
        <v>6250</v>
      </c>
      <c r="I108" s="169">
        <v>422916</v>
      </c>
      <c r="J108" s="492">
        <v>1</v>
      </c>
      <c r="K108" s="721" t="s">
        <v>269</v>
      </c>
      <c r="L108" s="80"/>
    </row>
    <row r="109" spans="1:12" ht="13.5" thickBot="1">
      <c r="A109" s="477"/>
      <c r="B109" s="560" t="s">
        <v>141</v>
      </c>
      <c r="C109" s="561">
        <f aca="true" t="shared" si="29" ref="C109:J109">SUM(C106:C108)</f>
        <v>1850464</v>
      </c>
      <c r="D109" s="562">
        <f t="shared" si="29"/>
        <v>416640</v>
      </c>
      <c r="E109" s="562">
        <f t="shared" si="29"/>
        <v>416640</v>
      </c>
      <c r="F109" s="562">
        <f t="shared" si="29"/>
        <v>0</v>
      </c>
      <c r="G109" s="562">
        <f t="shared" si="29"/>
        <v>141658</v>
      </c>
      <c r="H109" s="562">
        <f t="shared" si="29"/>
        <v>6250</v>
      </c>
      <c r="I109" s="562">
        <f t="shared" si="29"/>
        <v>1285916</v>
      </c>
      <c r="J109" s="563">
        <f t="shared" si="29"/>
        <v>1</v>
      </c>
      <c r="K109" s="702"/>
      <c r="L109" s="80"/>
    </row>
    <row r="110" spans="1:12" ht="12.75">
      <c r="A110" s="477"/>
      <c r="B110" s="564"/>
      <c r="C110" s="524"/>
      <c r="D110" s="525"/>
      <c r="E110" s="525"/>
      <c r="F110" s="525"/>
      <c r="G110" s="525"/>
      <c r="H110" s="525"/>
      <c r="I110" s="487"/>
      <c r="J110" s="488"/>
      <c r="K110" s="704"/>
      <c r="L110" s="80"/>
    </row>
    <row r="111" spans="1:12" ht="15">
      <c r="A111" s="477"/>
      <c r="B111" s="558" t="s">
        <v>72</v>
      </c>
      <c r="C111" s="524"/>
      <c r="D111" s="525"/>
      <c r="E111" s="525"/>
      <c r="F111" s="525"/>
      <c r="G111" s="525"/>
      <c r="H111" s="525"/>
      <c r="I111" s="487"/>
      <c r="J111" s="488"/>
      <c r="K111" s="704"/>
      <c r="L111" s="180"/>
    </row>
    <row r="112" spans="1:12" ht="12.75">
      <c r="A112" s="477"/>
      <c r="B112" s="565" t="s">
        <v>149</v>
      </c>
      <c r="C112" s="566">
        <f>SUM(D112+G112+H112+I112)</f>
        <v>3052701</v>
      </c>
      <c r="D112" s="567">
        <f>SUM(E112+F112)</f>
        <v>2094500</v>
      </c>
      <c r="E112" s="567">
        <v>1000000</v>
      </c>
      <c r="F112" s="567">
        <v>1094500</v>
      </c>
      <c r="G112" s="567">
        <v>373600</v>
      </c>
      <c r="H112" s="567">
        <v>10000</v>
      </c>
      <c r="I112" s="567">
        <v>574601</v>
      </c>
      <c r="J112" s="568">
        <v>3.8000000000000003</v>
      </c>
      <c r="K112" s="699"/>
      <c r="L112" s="80"/>
    </row>
    <row r="113" spans="1:12" ht="12.75">
      <c r="A113" s="477"/>
      <c r="B113" s="569" t="s">
        <v>211</v>
      </c>
      <c r="C113" s="490">
        <f>SUM(D113+G113+H113+I113)</f>
        <v>-936500</v>
      </c>
      <c r="D113" s="491">
        <f>SUM(E113+F113)</f>
        <v>-200000</v>
      </c>
      <c r="E113" s="491">
        <v>0</v>
      </c>
      <c r="F113" s="491">
        <v>-200000</v>
      </c>
      <c r="G113" s="491">
        <v>-8000</v>
      </c>
      <c r="H113" s="491">
        <v>0</v>
      </c>
      <c r="I113" s="169">
        <v>-728500</v>
      </c>
      <c r="J113" s="492">
        <v>0</v>
      </c>
      <c r="K113" s="699"/>
      <c r="L113" s="80"/>
    </row>
    <row r="114" spans="1:12" ht="12.75">
      <c r="A114" s="477"/>
      <c r="B114" s="358" t="s">
        <v>212</v>
      </c>
      <c r="C114" s="490">
        <f>SUM(D114+G114+H114+I114)</f>
        <v>2862201</v>
      </c>
      <c r="D114" s="491">
        <f>SUM(E114+F114)</f>
        <v>1586500</v>
      </c>
      <c r="E114" s="491">
        <v>1000000</v>
      </c>
      <c r="F114" s="491">
        <v>586500</v>
      </c>
      <c r="G114" s="491">
        <v>340800</v>
      </c>
      <c r="H114" s="491">
        <v>10000</v>
      </c>
      <c r="I114" s="169">
        <v>924901</v>
      </c>
      <c r="J114" s="492">
        <v>3.8000000000000003</v>
      </c>
      <c r="K114" s="699"/>
      <c r="L114" s="80"/>
    </row>
    <row r="115" spans="1:12" ht="12.75">
      <c r="A115" s="477"/>
      <c r="B115" s="358" t="s">
        <v>213</v>
      </c>
      <c r="C115" s="490">
        <f>SUM(D115+G115+H115+I115)</f>
        <v>1127000</v>
      </c>
      <c r="D115" s="491">
        <f>SUM(E115+F115)</f>
        <v>708000</v>
      </c>
      <c r="E115" s="491">
        <v>0</v>
      </c>
      <c r="F115" s="491">
        <v>708000</v>
      </c>
      <c r="G115" s="491">
        <v>40800</v>
      </c>
      <c r="H115" s="491">
        <v>0</v>
      </c>
      <c r="I115" s="169">
        <v>378200</v>
      </c>
      <c r="J115" s="492">
        <v>0</v>
      </c>
      <c r="K115" s="699"/>
      <c r="L115" s="80"/>
    </row>
    <row r="116" spans="1:12" ht="12.75" customHeight="1" hidden="1">
      <c r="A116" s="477"/>
      <c r="B116" s="569" t="s">
        <v>214</v>
      </c>
      <c r="C116" s="570">
        <f>SUM(D116+G116+H116+I116)</f>
        <v>3989201</v>
      </c>
      <c r="D116" s="571">
        <f>SUM(E116+F116)</f>
        <v>2294500</v>
      </c>
      <c r="E116" s="571">
        <f aca="true" t="shared" si="30" ref="E116:J116">SUM(E114:E115)</f>
        <v>1000000</v>
      </c>
      <c r="F116" s="571">
        <f t="shared" si="30"/>
        <v>1294500</v>
      </c>
      <c r="G116" s="571">
        <f t="shared" si="30"/>
        <v>381600</v>
      </c>
      <c r="H116" s="571">
        <f t="shared" si="30"/>
        <v>10000</v>
      </c>
      <c r="I116" s="571">
        <f t="shared" si="30"/>
        <v>1303101</v>
      </c>
      <c r="J116" s="572">
        <f t="shared" si="30"/>
        <v>3.8000000000000003</v>
      </c>
      <c r="K116" s="700" t="s">
        <v>215</v>
      </c>
      <c r="L116" s="80"/>
    </row>
    <row r="117" spans="1:12" ht="12.75">
      <c r="A117" s="477"/>
      <c r="B117" s="573" t="s">
        <v>150</v>
      </c>
      <c r="C117" s="490"/>
      <c r="D117" s="491"/>
      <c r="E117" s="491"/>
      <c r="F117" s="491"/>
      <c r="G117" s="491"/>
      <c r="H117" s="491"/>
      <c r="I117" s="169"/>
      <c r="J117" s="492"/>
      <c r="K117" s="699"/>
      <c r="L117" s="80"/>
    </row>
    <row r="118" spans="1:12" ht="12.75">
      <c r="A118" s="477"/>
      <c r="B118" s="400" t="s">
        <v>192</v>
      </c>
      <c r="C118" s="134">
        <f>D118+G118+H118+I118</f>
        <v>2065676</v>
      </c>
      <c r="D118" s="182">
        <f>SUM(E118+F118)</f>
        <v>1176400</v>
      </c>
      <c r="E118" s="337">
        <v>716400</v>
      </c>
      <c r="F118" s="337">
        <v>460000</v>
      </c>
      <c r="G118" s="337">
        <f>ROUND((E118*0.34+F118*0.34),0)-154784</f>
        <v>245192</v>
      </c>
      <c r="H118" s="337">
        <f>ROUND((E118*0.015),0)</f>
        <v>10746</v>
      </c>
      <c r="I118" s="392">
        <f>636920-3582</f>
        <v>633338</v>
      </c>
      <c r="J118" s="399">
        <v>1.2</v>
      </c>
      <c r="K118" s="705"/>
      <c r="L118" s="80"/>
    </row>
    <row r="119" spans="1:12" ht="13.5" thickBot="1">
      <c r="A119" s="477"/>
      <c r="B119" s="424" t="s">
        <v>200</v>
      </c>
      <c r="C119" s="447">
        <f aca="true" t="shared" si="31" ref="C119:J119">SUM(C118:C118)</f>
        <v>2065676</v>
      </c>
      <c r="D119" s="446">
        <f t="shared" si="31"/>
        <v>1176400</v>
      </c>
      <c r="E119" s="425">
        <f t="shared" si="31"/>
        <v>716400</v>
      </c>
      <c r="F119" s="425">
        <f t="shared" si="31"/>
        <v>460000</v>
      </c>
      <c r="G119" s="425">
        <f t="shared" si="31"/>
        <v>245192</v>
      </c>
      <c r="H119" s="425">
        <f t="shared" si="31"/>
        <v>10746</v>
      </c>
      <c r="I119" s="425">
        <f t="shared" si="31"/>
        <v>633338</v>
      </c>
      <c r="J119" s="432">
        <f t="shared" si="31"/>
        <v>1.2</v>
      </c>
      <c r="K119" s="722"/>
      <c r="L119" s="80"/>
    </row>
    <row r="120" spans="1:12" ht="13.5" thickBot="1">
      <c r="A120" s="477"/>
      <c r="B120" s="574" t="s">
        <v>75</v>
      </c>
      <c r="C120" s="575">
        <f aca="true" t="shared" si="32" ref="C120:J120">SUM(C112+C119)</f>
        <v>5118377</v>
      </c>
      <c r="D120" s="562">
        <f t="shared" si="32"/>
        <v>3270900</v>
      </c>
      <c r="E120" s="562">
        <f t="shared" si="32"/>
        <v>1716400</v>
      </c>
      <c r="F120" s="562">
        <f t="shared" si="32"/>
        <v>1554500</v>
      </c>
      <c r="G120" s="562">
        <f t="shared" si="32"/>
        <v>618792</v>
      </c>
      <c r="H120" s="562">
        <f t="shared" si="32"/>
        <v>20746</v>
      </c>
      <c r="I120" s="562">
        <f t="shared" si="32"/>
        <v>1207939</v>
      </c>
      <c r="J120" s="563">
        <f t="shared" si="32"/>
        <v>5</v>
      </c>
      <c r="K120" s="707"/>
      <c r="L120" s="80"/>
    </row>
    <row r="121" spans="1:12" ht="12.75">
      <c r="A121" s="477"/>
      <c r="B121" s="576"/>
      <c r="C121" s="577">
        <f>D121+G121+H121+I121</f>
        <v>0</v>
      </c>
      <c r="D121" s="578">
        <f>SUM(E121+F121)</f>
        <v>0</v>
      </c>
      <c r="E121" s="578"/>
      <c r="F121" s="578"/>
      <c r="G121" s="578"/>
      <c r="H121" s="578"/>
      <c r="I121" s="578"/>
      <c r="J121" s="579"/>
      <c r="K121" s="723"/>
      <c r="L121" s="80"/>
    </row>
    <row r="122" spans="1:12" ht="13.5" thickBot="1">
      <c r="A122" s="477"/>
      <c r="B122" s="574" t="s">
        <v>151</v>
      </c>
      <c r="C122" s="575">
        <f aca="true" t="shared" si="33" ref="C122:J122">C109+C120+C121</f>
        <v>6968841</v>
      </c>
      <c r="D122" s="562">
        <f t="shared" si="33"/>
        <v>3687540</v>
      </c>
      <c r="E122" s="562">
        <f t="shared" si="33"/>
        <v>2133040</v>
      </c>
      <c r="F122" s="562">
        <f t="shared" si="33"/>
        <v>1554500</v>
      </c>
      <c r="G122" s="562">
        <f t="shared" si="33"/>
        <v>760450</v>
      </c>
      <c r="H122" s="562">
        <f t="shared" si="33"/>
        <v>26996</v>
      </c>
      <c r="I122" s="562">
        <f t="shared" si="33"/>
        <v>2493855</v>
      </c>
      <c r="J122" s="563">
        <f t="shared" si="33"/>
        <v>6</v>
      </c>
      <c r="K122" s="707"/>
      <c r="L122" s="80"/>
    </row>
    <row r="123" spans="1:12" ht="12.75">
      <c r="A123" s="477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</row>
    <row r="124" spans="1:12" ht="13.5" thickBot="1">
      <c r="A124" s="477"/>
      <c r="B124" s="581" t="s">
        <v>193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</row>
    <row r="125" spans="1:12" ht="15">
      <c r="A125" s="477"/>
      <c r="B125" s="582" t="s">
        <v>136</v>
      </c>
      <c r="C125" s="583"/>
      <c r="D125" s="584"/>
      <c r="E125" s="584"/>
      <c r="F125" s="584"/>
      <c r="G125" s="584"/>
      <c r="H125" s="584"/>
      <c r="I125" s="585"/>
      <c r="J125" s="586"/>
      <c r="K125" s="587"/>
      <c r="L125" s="477"/>
    </row>
    <row r="126" spans="1:12" ht="25.5">
      <c r="A126" s="477"/>
      <c r="B126" s="527" t="s">
        <v>221</v>
      </c>
      <c r="C126" s="588">
        <f>SUM(D126+G126+H126+I126)</f>
        <v>518000</v>
      </c>
      <c r="D126" s="231">
        <f aca="true" t="shared" si="34" ref="D126:D132">SUM(E126+F126)</f>
        <v>300000</v>
      </c>
      <c r="E126" s="231"/>
      <c r="F126" s="231">
        <v>300000</v>
      </c>
      <c r="G126" s="231">
        <f>ROUND((E126*0.34+F126*0.34),0)</f>
        <v>102000</v>
      </c>
      <c r="H126" s="231">
        <f>ROUND((E126*0.015),0)</f>
        <v>0</v>
      </c>
      <c r="I126" s="225">
        <v>116000</v>
      </c>
      <c r="J126" s="492"/>
      <c r="K126" s="700" t="s">
        <v>222</v>
      </c>
      <c r="L126" s="477"/>
    </row>
    <row r="127" spans="1:12" ht="38.25">
      <c r="A127" s="477"/>
      <c r="B127" s="506" t="s">
        <v>145</v>
      </c>
      <c r="C127" s="490">
        <f>SUM(D127+G127+H127+I127)</f>
        <v>1200000</v>
      </c>
      <c r="D127" s="491">
        <f t="shared" si="34"/>
        <v>0</v>
      </c>
      <c r="E127" s="491"/>
      <c r="F127" s="491"/>
      <c r="G127" s="491">
        <f>ROUND((E127*0.34+F127*0.34),0)</f>
        <v>0</v>
      </c>
      <c r="H127" s="491">
        <f>ROUND((E127*0.015),0)</f>
        <v>0</v>
      </c>
      <c r="I127" s="169">
        <v>1200000</v>
      </c>
      <c r="J127" s="492"/>
      <c r="K127" s="700" t="s">
        <v>223</v>
      </c>
      <c r="L127" s="477"/>
    </row>
    <row r="128" spans="1:12" ht="38.25">
      <c r="A128" s="477"/>
      <c r="B128" s="527" t="s">
        <v>224</v>
      </c>
      <c r="C128" s="588">
        <f>SUM(D128+G128+H128+I128)</f>
        <v>6542200</v>
      </c>
      <c r="D128" s="231">
        <f t="shared" si="34"/>
        <v>5965000</v>
      </c>
      <c r="E128" s="231"/>
      <c r="F128" s="231">
        <v>5965000</v>
      </c>
      <c r="G128" s="231">
        <f>ROUND((E128*0.34+F128*0.34),0)-1660900</f>
        <v>367200</v>
      </c>
      <c r="H128" s="231">
        <f>ROUND((E128*0.015),0)</f>
        <v>0</v>
      </c>
      <c r="I128" s="225">
        <v>210000</v>
      </c>
      <c r="J128" s="492"/>
      <c r="K128" s="700" t="s">
        <v>225</v>
      </c>
      <c r="L128" s="477"/>
    </row>
    <row r="129" spans="1:12" ht="12.75">
      <c r="A129" s="477"/>
      <c r="B129" s="527" t="s">
        <v>226</v>
      </c>
      <c r="C129" s="588">
        <f>SUM(D129+G129+H129+I129)</f>
        <v>100000</v>
      </c>
      <c r="D129" s="231">
        <f t="shared" si="34"/>
        <v>100000</v>
      </c>
      <c r="E129" s="231"/>
      <c r="F129" s="231">
        <v>100000</v>
      </c>
      <c r="G129" s="589">
        <f>ROUND((E129*0.34+F129*0.34),0)-34000</f>
        <v>0</v>
      </c>
      <c r="H129" s="231">
        <f>ROUND((E129*0.015),0)</f>
        <v>0</v>
      </c>
      <c r="I129" s="225"/>
      <c r="J129" s="492"/>
      <c r="K129" s="699" t="s">
        <v>156</v>
      </c>
      <c r="L129" s="477"/>
    </row>
    <row r="130" spans="1:12" ht="12.75">
      <c r="A130" s="477"/>
      <c r="B130" s="400" t="s">
        <v>227</v>
      </c>
      <c r="C130" s="590">
        <f>D130+G130+H130+I130</f>
        <v>485200</v>
      </c>
      <c r="D130" s="337">
        <f t="shared" si="34"/>
        <v>59500</v>
      </c>
      <c r="E130" s="337">
        <v>0</v>
      </c>
      <c r="F130" s="337">
        <v>59500</v>
      </c>
      <c r="G130" s="337">
        <v>0</v>
      </c>
      <c r="H130" s="337">
        <v>0</v>
      </c>
      <c r="I130" s="337">
        <v>425700</v>
      </c>
      <c r="J130" s="512"/>
      <c r="K130" s="705" t="s">
        <v>228</v>
      </c>
      <c r="L130" s="80"/>
    </row>
    <row r="131" spans="1:12" ht="51">
      <c r="A131" s="477"/>
      <c r="B131" s="527" t="s">
        <v>166</v>
      </c>
      <c r="C131" s="490">
        <f>SUM(D131+G131+H131+I131)</f>
        <v>750000</v>
      </c>
      <c r="D131" s="491">
        <f t="shared" si="34"/>
        <v>0</v>
      </c>
      <c r="E131" s="491"/>
      <c r="F131" s="491"/>
      <c r="G131" s="491">
        <f>ROUND((E131*0.34+F131*0.34),0)</f>
        <v>0</v>
      </c>
      <c r="H131" s="491">
        <f>ROUND((E131*0.015),0)</f>
        <v>0</v>
      </c>
      <c r="I131" s="169">
        <v>750000</v>
      </c>
      <c r="J131" s="492"/>
      <c r="K131" s="700" t="s">
        <v>229</v>
      </c>
      <c r="L131" s="80"/>
    </row>
    <row r="132" spans="1:12" ht="12.75">
      <c r="A132" s="477"/>
      <c r="B132" s="657" t="s">
        <v>147</v>
      </c>
      <c r="C132" s="658">
        <f>SUM(D132+G132+H132+I132)</f>
        <v>779343</v>
      </c>
      <c r="D132" s="659">
        <f t="shared" si="34"/>
        <v>427560</v>
      </c>
      <c r="E132" s="659">
        <v>427560</v>
      </c>
      <c r="F132" s="659"/>
      <c r="G132" s="659">
        <f>ROUND((E132*0.34+F132*0.34),0)</f>
        <v>145370</v>
      </c>
      <c r="H132" s="659">
        <f>ROUND((E132*0.015),0)</f>
        <v>6413</v>
      </c>
      <c r="I132" s="660">
        <v>200000</v>
      </c>
      <c r="J132" s="661">
        <v>1</v>
      </c>
      <c r="K132" s="721" t="s">
        <v>249</v>
      </c>
      <c r="L132" s="80"/>
    </row>
    <row r="133" spans="1:12" ht="13.5" thickBot="1">
      <c r="A133" s="477"/>
      <c r="B133" s="513" t="s">
        <v>141</v>
      </c>
      <c r="C133" s="591">
        <f>SUM(C126:C132)</f>
        <v>10374743</v>
      </c>
      <c r="D133" s="592">
        <f aca="true" t="shared" si="35" ref="D133:J133">SUM(D126:D132)</f>
        <v>6852060</v>
      </c>
      <c r="E133" s="592">
        <f t="shared" si="35"/>
        <v>427560</v>
      </c>
      <c r="F133" s="592">
        <f t="shared" si="35"/>
        <v>6424500</v>
      </c>
      <c r="G133" s="592">
        <f t="shared" si="35"/>
        <v>614570</v>
      </c>
      <c r="H133" s="592">
        <f t="shared" si="35"/>
        <v>6413</v>
      </c>
      <c r="I133" s="592">
        <f t="shared" si="35"/>
        <v>2901700</v>
      </c>
      <c r="J133" s="516">
        <f t="shared" si="35"/>
        <v>1</v>
      </c>
      <c r="K133" s="702"/>
      <c r="L133" s="80"/>
    </row>
    <row r="134" spans="1:12" ht="15">
      <c r="A134" s="477"/>
      <c r="B134" s="486" t="s">
        <v>150</v>
      </c>
      <c r="C134" s="593"/>
      <c r="D134" s="489"/>
      <c r="E134" s="594"/>
      <c r="F134" s="594"/>
      <c r="G134" s="594"/>
      <c r="H134" s="594"/>
      <c r="I134" s="595"/>
      <c r="J134" s="526"/>
      <c r="K134" s="704"/>
      <c r="L134" s="80"/>
    </row>
    <row r="135" spans="1:12" ht="25.5">
      <c r="A135" s="467"/>
      <c r="B135" s="393" t="s">
        <v>125</v>
      </c>
      <c r="C135" s="510">
        <f>D135+G135+H135+I135</f>
        <v>5028118</v>
      </c>
      <c r="D135" s="596">
        <f>SUM(E135+F135)</f>
        <v>2920200</v>
      </c>
      <c r="E135" s="394">
        <v>802200</v>
      </c>
      <c r="F135" s="394">
        <f>1849200+268800</f>
        <v>2118000</v>
      </c>
      <c r="G135" s="394">
        <f>679000+90896</f>
        <v>769896</v>
      </c>
      <c r="H135" s="394">
        <f>8000+22</f>
        <v>8022</v>
      </c>
      <c r="I135" s="394">
        <f>1355000-25000</f>
        <v>1330000</v>
      </c>
      <c r="J135" s="401">
        <v>2</v>
      </c>
      <c r="K135" s="705" t="s">
        <v>194</v>
      </c>
      <c r="L135" s="80"/>
    </row>
    <row r="136" spans="1:12" ht="13.5" thickBot="1">
      <c r="A136" s="477"/>
      <c r="B136" s="597" t="s">
        <v>230</v>
      </c>
      <c r="C136" s="521">
        <f aca="true" t="shared" si="36" ref="C136:J136">SUM(C135:C135)</f>
        <v>5028118</v>
      </c>
      <c r="D136" s="515">
        <f t="shared" si="36"/>
        <v>2920200</v>
      </c>
      <c r="E136" s="598">
        <f t="shared" si="36"/>
        <v>802200</v>
      </c>
      <c r="F136" s="598">
        <f t="shared" si="36"/>
        <v>2118000</v>
      </c>
      <c r="G136" s="599">
        <f t="shared" si="36"/>
        <v>769896</v>
      </c>
      <c r="H136" s="515">
        <f t="shared" si="36"/>
        <v>8022</v>
      </c>
      <c r="I136" s="515">
        <f t="shared" si="36"/>
        <v>1330000</v>
      </c>
      <c r="J136" s="516">
        <f t="shared" si="36"/>
        <v>2</v>
      </c>
      <c r="K136" s="724" t="s">
        <v>195</v>
      </c>
      <c r="L136" s="80"/>
    </row>
    <row r="137" spans="1:12" ht="25.5">
      <c r="A137" s="477"/>
      <c r="B137" s="600" t="s">
        <v>231</v>
      </c>
      <c r="C137" s="588">
        <f>D137+G137+H137+I137</f>
        <v>34034030</v>
      </c>
      <c r="D137" s="395">
        <f>SUM(E137+F137)</f>
        <v>19049700</v>
      </c>
      <c r="E137" s="231">
        <v>5753200</v>
      </c>
      <c r="F137" s="231">
        <v>13296500</v>
      </c>
      <c r="G137" s="231">
        <v>6510860</v>
      </c>
      <c r="H137" s="231">
        <v>57530</v>
      </c>
      <c r="I137" s="225">
        <v>8415940</v>
      </c>
      <c r="J137" s="403">
        <v>15.4</v>
      </c>
      <c r="K137" s="700" t="s">
        <v>232</v>
      </c>
      <c r="L137" s="80"/>
    </row>
    <row r="138" spans="1:12" ht="13.5" thickBot="1">
      <c r="A138" s="477"/>
      <c r="B138" s="601" t="s">
        <v>233</v>
      </c>
      <c r="C138" s="602">
        <f>SUM(C137)</f>
        <v>34034030</v>
      </c>
      <c r="D138" s="603">
        <f aca="true" t="shared" si="37" ref="D138:J138">SUM(D137)</f>
        <v>19049700</v>
      </c>
      <c r="E138" s="604">
        <f t="shared" si="37"/>
        <v>5753200</v>
      </c>
      <c r="F138" s="604">
        <f t="shared" si="37"/>
        <v>13296500</v>
      </c>
      <c r="G138" s="367">
        <f t="shared" si="37"/>
        <v>6510860</v>
      </c>
      <c r="H138" s="603">
        <f t="shared" si="37"/>
        <v>57530</v>
      </c>
      <c r="I138" s="603">
        <f t="shared" si="37"/>
        <v>8415940</v>
      </c>
      <c r="J138" s="605">
        <f t="shared" si="37"/>
        <v>15.4</v>
      </c>
      <c r="K138" s="724" t="s">
        <v>234</v>
      </c>
      <c r="L138" s="80"/>
    </row>
    <row r="139" spans="1:12" ht="12.75">
      <c r="A139" s="477"/>
      <c r="B139" s="616"/>
      <c r="C139" s="615"/>
      <c r="D139" s="418"/>
      <c r="E139" s="418"/>
      <c r="F139" s="418"/>
      <c r="G139" s="419"/>
      <c r="H139" s="418"/>
      <c r="I139" s="418"/>
      <c r="J139" s="420"/>
      <c r="K139" s="703"/>
      <c r="L139" s="80"/>
    </row>
    <row r="140" spans="1:12" ht="12.75">
      <c r="A140" s="477"/>
      <c r="B140" s="616" t="s">
        <v>217</v>
      </c>
      <c r="C140" s="615"/>
      <c r="D140" s="418"/>
      <c r="E140" s="418"/>
      <c r="F140" s="418"/>
      <c r="G140" s="419"/>
      <c r="H140" s="418"/>
      <c r="I140" s="418"/>
      <c r="J140" s="420"/>
      <c r="K140" s="703"/>
      <c r="L140" s="80"/>
    </row>
    <row r="141" spans="1:12" ht="12.75">
      <c r="A141" s="477"/>
      <c r="B141" s="580" t="s">
        <v>219</v>
      </c>
      <c r="C141" s="490">
        <f>SUM(D141+G141+H141+I141)</f>
        <v>200000</v>
      </c>
      <c r="D141" s="491">
        <f>SUM(E141+F141)</f>
        <v>200000</v>
      </c>
      <c r="E141" s="491"/>
      <c r="F141" s="491">
        <v>200000</v>
      </c>
      <c r="G141" s="507">
        <f>ROUND((E141*0.34+F141*0.34),0)-68000</f>
        <v>0</v>
      </c>
      <c r="H141" s="491">
        <f>ROUND((E141*0.015),0)</f>
        <v>0</v>
      </c>
      <c r="I141" s="169"/>
      <c r="J141" s="492"/>
      <c r="K141" s="699" t="s">
        <v>155</v>
      </c>
      <c r="L141" s="80"/>
    </row>
    <row r="142" spans="1:12" ht="12.75">
      <c r="A142" s="477"/>
      <c r="B142" s="580" t="s">
        <v>158</v>
      </c>
      <c r="C142" s="490">
        <f>SUM(D142+G142+H142+I142)</f>
        <v>655000</v>
      </c>
      <c r="D142" s="491">
        <f>SUM(E142+F142)</f>
        <v>595000</v>
      </c>
      <c r="E142" s="491"/>
      <c r="F142" s="491">
        <v>595000</v>
      </c>
      <c r="G142" s="507">
        <f>ROUND((E142*0.34+F142*0.34),0)-202300</f>
        <v>0</v>
      </c>
      <c r="H142" s="491">
        <f>ROUND((E142*0.015),0)</f>
        <v>0</v>
      </c>
      <c r="I142" s="169">
        <v>60000</v>
      </c>
      <c r="J142" s="492"/>
      <c r="K142" s="699" t="s">
        <v>157</v>
      </c>
      <c r="L142" s="80"/>
    </row>
    <row r="143" spans="1:12" ht="13.5" thickBot="1">
      <c r="A143" s="477"/>
      <c r="B143" s="617" t="s">
        <v>220</v>
      </c>
      <c r="C143" s="618">
        <f>SUM(C141:C142)</f>
        <v>855000</v>
      </c>
      <c r="D143" s="619">
        <f aca="true" t="shared" si="38" ref="D143:J143">SUM(D141:D142)</f>
        <v>795000</v>
      </c>
      <c r="E143" s="619">
        <f t="shared" si="38"/>
        <v>0</v>
      </c>
      <c r="F143" s="619">
        <f t="shared" si="38"/>
        <v>795000</v>
      </c>
      <c r="G143" s="619">
        <f t="shared" si="38"/>
        <v>0</v>
      </c>
      <c r="H143" s="619">
        <f t="shared" si="38"/>
        <v>0</v>
      </c>
      <c r="I143" s="619">
        <f t="shared" si="38"/>
        <v>60000</v>
      </c>
      <c r="J143" s="620">
        <f t="shared" si="38"/>
        <v>0</v>
      </c>
      <c r="K143" s="725"/>
      <c r="L143" s="80"/>
    </row>
    <row r="144" spans="1:12" ht="15.75" thickTop="1">
      <c r="A144" s="477"/>
      <c r="B144" s="606"/>
      <c r="C144" s="588"/>
      <c r="D144" s="225"/>
      <c r="E144" s="231"/>
      <c r="F144" s="231"/>
      <c r="G144" s="231"/>
      <c r="H144" s="231"/>
      <c r="I144" s="225"/>
      <c r="J144" s="403"/>
      <c r="K144" s="699"/>
      <c r="L144" s="80"/>
    </row>
    <row r="145" spans="1:12" ht="13.5" thickBot="1">
      <c r="A145" s="477"/>
      <c r="B145" s="597" t="s">
        <v>235</v>
      </c>
      <c r="C145" s="607">
        <f>SUM(C133+C136+C138+C143)</f>
        <v>50291891</v>
      </c>
      <c r="D145" s="608">
        <f aca="true" t="shared" si="39" ref="D145:J145">SUM(D133+D136+D138+D143)</f>
        <v>29616960</v>
      </c>
      <c r="E145" s="608">
        <f t="shared" si="39"/>
        <v>6982960</v>
      </c>
      <c r="F145" s="608">
        <f t="shared" si="39"/>
        <v>22634000</v>
      </c>
      <c r="G145" s="608">
        <f t="shared" si="39"/>
        <v>7895326</v>
      </c>
      <c r="H145" s="608">
        <f t="shared" si="39"/>
        <v>71965</v>
      </c>
      <c r="I145" s="608">
        <f t="shared" si="39"/>
        <v>12707640</v>
      </c>
      <c r="J145" s="609">
        <f t="shared" si="39"/>
        <v>18.4</v>
      </c>
      <c r="K145" s="726"/>
      <c r="L145" s="80"/>
    </row>
    <row r="146" ht="13.5" thickBot="1"/>
    <row r="147" spans="1:12" ht="26.25" thickBot="1">
      <c r="A147" s="477"/>
      <c r="B147" s="626" t="s">
        <v>152</v>
      </c>
      <c r="C147" s="627">
        <f aca="true" t="shared" si="40" ref="C147:J147">C95-C122</f>
        <v>-7063385</v>
      </c>
      <c r="D147" s="628">
        <f t="shared" si="40"/>
        <v>-3687540</v>
      </c>
      <c r="E147" s="628">
        <f t="shared" si="40"/>
        <v>-2133040</v>
      </c>
      <c r="F147" s="628">
        <f t="shared" si="40"/>
        <v>-1554500</v>
      </c>
      <c r="G147" s="628">
        <f t="shared" si="40"/>
        <v>-760450</v>
      </c>
      <c r="H147" s="628">
        <f t="shared" si="40"/>
        <v>-121540</v>
      </c>
      <c r="I147" s="628">
        <f t="shared" si="40"/>
        <v>-2493855</v>
      </c>
      <c r="J147" s="629">
        <f t="shared" si="40"/>
        <v>-6</v>
      </c>
      <c r="K147" s="630" t="s">
        <v>237</v>
      </c>
      <c r="L147" s="80"/>
    </row>
  </sheetData>
  <sheetProtection/>
  <mergeCells count="6">
    <mergeCell ref="E7:E8"/>
    <mergeCell ref="B3:K3"/>
    <mergeCell ref="D6:D8"/>
    <mergeCell ref="F7:F8"/>
    <mergeCell ref="E6:F6"/>
    <mergeCell ref="I6:I8"/>
  </mergeCells>
  <printOptions horizontalCentered="1"/>
  <pageMargins left="0" right="0" top="0.7874015748031497" bottom="0.3937007874015748" header="0.5118110236220472" footer="0.31496062992125984"/>
  <pageSetup fitToHeight="2" fitToWidth="1" horizontalDpi="600" verticalDpi="600" orientation="portrait" paperSize="8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G35"/>
  <sheetViews>
    <sheetView zoomScale="80" zoomScaleNormal="80" zoomScalePageLayoutView="0" workbookViewId="0" topLeftCell="A1">
      <selection activeCell="I14" sqref="I14"/>
    </sheetView>
  </sheetViews>
  <sheetFormatPr defaultColWidth="9.00390625" defaultRowHeight="12.75"/>
  <cols>
    <col min="1" max="1" width="3.00390625" style="0" customWidth="1"/>
    <col min="2" max="2" width="45.875" style="0" customWidth="1"/>
    <col min="3" max="3" width="10.75390625" style="0" customWidth="1"/>
    <col min="4" max="4" width="6.25390625" style="0" customWidth="1"/>
    <col min="5" max="5" width="26.00390625" style="0" customWidth="1"/>
    <col min="7" max="7" width="10.125" style="0" bestFit="1" customWidth="1"/>
  </cols>
  <sheetData>
    <row r="1" spans="2:5" ht="18">
      <c r="B1" s="306" t="s">
        <v>257</v>
      </c>
      <c r="E1" s="125" t="s">
        <v>256</v>
      </c>
    </row>
    <row r="2" spans="2:5" ht="19.5" customHeight="1" thickBot="1">
      <c r="B2" s="183"/>
      <c r="E2" t="s">
        <v>115</v>
      </c>
    </row>
    <row r="3" spans="2:5" ht="12.75" customHeight="1">
      <c r="B3" s="754" t="s">
        <v>121</v>
      </c>
      <c r="C3" s="757" t="s">
        <v>6</v>
      </c>
      <c r="D3" s="759" t="s">
        <v>67</v>
      </c>
      <c r="E3" s="646"/>
    </row>
    <row r="4" spans="2:5" ht="12.75" customHeight="1">
      <c r="B4" s="755"/>
      <c r="C4" s="758"/>
      <c r="D4" s="760"/>
      <c r="E4" s="647" t="s">
        <v>29</v>
      </c>
    </row>
    <row r="5" spans="2:5" ht="12.75">
      <c r="B5" s="755"/>
      <c r="C5" s="758"/>
      <c r="D5" s="761"/>
      <c r="E5" s="648"/>
    </row>
    <row r="6" spans="2:5" ht="18" customHeight="1" thickBot="1">
      <c r="B6" s="756"/>
      <c r="C6" s="437" t="s">
        <v>10</v>
      </c>
      <c r="D6" s="739" t="s">
        <v>11</v>
      </c>
      <c r="E6" s="649"/>
    </row>
    <row r="7" spans="2:5" ht="13.5" customHeight="1" thickTop="1">
      <c r="B7" s="433" t="s">
        <v>122</v>
      </c>
      <c r="C7" s="438">
        <v>3500000</v>
      </c>
      <c r="D7" s="401">
        <v>3.4</v>
      </c>
      <c r="E7" s="752" t="s">
        <v>133</v>
      </c>
    </row>
    <row r="8" spans="2:5" ht="12.75">
      <c r="B8" s="433" t="s">
        <v>192</v>
      </c>
      <c r="C8" s="438">
        <v>6126280</v>
      </c>
      <c r="D8" s="401">
        <v>9.76</v>
      </c>
      <c r="E8" s="753"/>
    </row>
    <row r="9" spans="2:5" ht="12.75">
      <c r="B9" s="433" t="s">
        <v>123</v>
      </c>
      <c r="C9" s="438">
        <v>573968</v>
      </c>
      <c r="D9" s="401">
        <f>1.4+1.4-2.1</f>
        <v>0.6999999999999997</v>
      </c>
      <c r="E9" s="753"/>
    </row>
    <row r="10" spans="2:5" ht="12.75">
      <c r="B10" s="433" t="s">
        <v>271</v>
      </c>
      <c r="C10" s="438">
        <v>107000</v>
      </c>
      <c r="D10" s="401"/>
      <c r="E10" s="753"/>
    </row>
    <row r="11" spans="2:5" ht="12.75">
      <c r="B11" s="433" t="s">
        <v>272</v>
      </c>
      <c r="C11" s="438">
        <v>40000</v>
      </c>
      <c r="D11" s="401"/>
      <c r="E11" s="753"/>
    </row>
    <row r="12" spans="2:5" ht="12.75">
      <c r="B12" s="433" t="s">
        <v>273</v>
      </c>
      <c r="C12" s="438">
        <v>250000</v>
      </c>
      <c r="D12" s="401"/>
      <c r="E12" s="753"/>
    </row>
    <row r="13" spans="2:5" ht="12.75">
      <c r="B13" s="433" t="s">
        <v>274</v>
      </c>
      <c r="C13" s="438">
        <v>300000</v>
      </c>
      <c r="D13" s="401"/>
      <c r="E13" s="753"/>
    </row>
    <row r="14" spans="2:5" ht="12.75">
      <c r="B14" s="433" t="s">
        <v>275</v>
      </c>
      <c r="C14" s="438">
        <v>400000</v>
      </c>
      <c r="D14" s="401"/>
      <c r="E14" s="753"/>
    </row>
    <row r="15" spans="2:5" ht="12.75">
      <c r="B15" s="433" t="s">
        <v>276</v>
      </c>
      <c r="C15" s="438">
        <v>200000</v>
      </c>
      <c r="D15" s="401"/>
      <c r="E15" s="753"/>
    </row>
    <row r="16" spans="2:5" ht="12.75">
      <c r="B16" s="433" t="s">
        <v>277</v>
      </c>
      <c r="C16" s="438">
        <v>100000</v>
      </c>
      <c r="D16" s="401"/>
      <c r="E16" s="753"/>
    </row>
    <row r="17" spans="2:5" ht="38.25">
      <c r="B17" s="434" t="s">
        <v>124</v>
      </c>
      <c r="C17" s="438">
        <v>1550000</v>
      </c>
      <c r="D17" s="401">
        <f>0.93+0.72</f>
        <v>1.65</v>
      </c>
      <c r="E17" s="753"/>
    </row>
    <row r="18" spans="2:5" ht="13.5" thickBot="1">
      <c r="B18" s="435" t="s">
        <v>198</v>
      </c>
      <c r="C18" s="439">
        <v>1263070</v>
      </c>
      <c r="D18" s="405">
        <v>0.6</v>
      </c>
      <c r="E18" s="753"/>
    </row>
    <row r="19" spans="2:5" ht="13.5" thickBot="1">
      <c r="B19" s="413" t="s">
        <v>101</v>
      </c>
      <c r="C19" s="440">
        <f>SUM(C7:C18)</f>
        <v>14410318</v>
      </c>
      <c r="D19" s="414">
        <f>SUM(D7:D18)</f>
        <v>16.11</v>
      </c>
      <c r="E19" s="416"/>
    </row>
    <row r="20" spans="2:5" ht="12.75">
      <c r="B20" s="422" t="s">
        <v>193</v>
      </c>
      <c r="C20" s="441"/>
      <c r="D20" s="420"/>
      <c r="E20" s="421"/>
    </row>
    <row r="21" spans="2:5" ht="26.25" thickBot="1">
      <c r="B21" s="436" t="s">
        <v>125</v>
      </c>
      <c r="C21" s="442">
        <v>5028118</v>
      </c>
      <c r="D21" s="408">
        <v>2</v>
      </c>
      <c r="E21" s="415" t="s">
        <v>194</v>
      </c>
    </row>
    <row r="22" spans="2:5" ht="13.5" thickBot="1">
      <c r="B22" s="412" t="s">
        <v>92</v>
      </c>
      <c r="C22" s="443">
        <f>SUM(C21:C21)</f>
        <v>5028118</v>
      </c>
      <c r="D22" s="407">
        <f>SUM(D21:D21)</f>
        <v>2</v>
      </c>
      <c r="E22" s="431" t="s">
        <v>195</v>
      </c>
    </row>
    <row r="23" spans="2:7" ht="26.25" thickBot="1">
      <c r="B23" s="417" t="s">
        <v>199</v>
      </c>
      <c r="C23" s="444">
        <v>34034030</v>
      </c>
      <c r="D23" s="492">
        <v>15.4</v>
      </c>
      <c r="E23" s="404" t="s">
        <v>196</v>
      </c>
      <c r="G23" s="167"/>
    </row>
    <row r="24" spans="2:5" ht="15.75" thickBot="1">
      <c r="B24" s="411" t="s">
        <v>68</v>
      </c>
      <c r="C24" s="445">
        <f>C19+C22+C23</f>
        <v>53472466</v>
      </c>
      <c r="D24" s="662">
        <f>D19+D22+D23</f>
        <v>33.51</v>
      </c>
      <c r="E24" s="430"/>
    </row>
    <row r="26" ht="13.5" thickBot="1"/>
    <row r="27" spans="2:5" ht="15">
      <c r="B27" s="423" t="s">
        <v>197</v>
      </c>
      <c r="C27" s="427"/>
      <c r="D27" s="428"/>
      <c r="E27" s="429"/>
    </row>
    <row r="28" spans="2:5" ht="12.75">
      <c r="B28" s="400" t="s">
        <v>192</v>
      </c>
      <c r="C28" s="134">
        <v>2065676</v>
      </c>
      <c r="D28" s="399">
        <v>1.2</v>
      </c>
      <c r="E28" s="402"/>
    </row>
    <row r="29" spans="2:5" ht="13.5" thickBot="1">
      <c r="B29" s="424" t="s">
        <v>200</v>
      </c>
      <c r="C29" s="447">
        <f>SUM(C28:C28)</f>
        <v>2065676</v>
      </c>
      <c r="D29" s="432">
        <f>SUM(D28:D28)</f>
        <v>1.2</v>
      </c>
      <c r="E29" s="426"/>
    </row>
    <row r="31" spans="2:3" ht="12.75">
      <c r="B31" s="183" t="s">
        <v>278</v>
      </c>
      <c r="C31" s="167"/>
    </row>
    <row r="32" spans="2:3" ht="12.75">
      <c r="B32" s="167"/>
      <c r="C32" s="167"/>
    </row>
    <row r="33" ht="12.75">
      <c r="B33" s="167"/>
    </row>
    <row r="34" ht="12.75">
      <c r="B34" s="167"/>
    </row>
    <row r="35" ht="12.75">
      <c r="B35" s="167"/>
    </row>
  </sheetData>
  <sheetProtection/>
  <mergeCells count="4">
    <mergeCell ref="E7:E18"/>
    <mergeCell ref="B3:B6"/>
    <mergeCell ref="C3:C5"/>
    <mergeCell ref="D3:D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140"/>
  <sheetViews>
    <sheetView zoomScale="80" zoomScaleNormal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65" sqref="K65"/>
    </sheetView>
  </sheetViews>
  <sheetFormatPr defaultColWidth="9.00390625" defaultRowHeight="12.75"/>
  <cols>
    <col min="1" max="1" width="2.00390625" style="2" customWidth="1"/>
    <col min="2" max="2" width="60.25390625" style="2" customWidth="1"/>
    <col min="3" max="3" width="15.00390625" style="2" customWidth="1"/>
    <col min="4" max="4" width="14.625" style="2" customWidth="1"/>
    <col min="5" max="5" width="14.75390625" style="2" customWidth="1"/>
    <col min="6" max="7" width="13.625" style="2" customWidth="1"/>
    <col min="8" max="8" width="12.25390625" style="2" customWidth="1"/>
    <col min="9" max="9" width="14.25390625" style="2" customWidth="1"/>
    <col min="10" max="10" width="8.625" style="2" customWidth="1"/>
    <col min="11" max="11" width="31.75390625" style="2" customWidth="1"/>
    <col min="12" max="12" width="9.125" style="2" customWidth="1"/>
    <col min="13" max="13" width="12.375" style="2" bestFit="1" customWidth="1"/>
    <col min="14" max="16384" width="9.125" style="2" customWidth="1"/>
  </cols>
  <sheetData>
    <row r="1" spans="4:11" ht="18">
      <c r="D1" s="211"/>
      <c r="K1" s="56" t="s">
        <v>51</v>
      </c>
    </row>
    <row r="2" ht="12.75">
      <c r="C2" s="211"/>
    </row>
    <row r="3" spans="2:11" ht="21" customHeight="1">
      <c r="B3" s="742" t="s">
        <v>236</v>
      </c>
      <c r="C3" s="743"/>
      <c r="D3" s="743"/>
      <c r="E3" s="743"/>
      <c r="F3" s="743"/>
      <c r="G3" s="743"/>
      <c r="H3" s="743"/>
      <c r="I3" s="743"/>
      <c r="J3" s="743"/>
      <c r="K3" s="743"/>
    </row>
    <row r="4" spans="2:11" ht="13.5" thickBot="1">
      <c r="B4" s="3"/>
      <c r="K4" s="84" t="s">
        <v>115</v>
      </c>
    </row>
    <row r="5" spans="2:11" ht="12.75">
      <c r="B5" s="145"/>
      <c r="C5" s="143" t="s">
        <v>21</v>
      </c>
      <c r="D5" s="24"/>
      <c r="E5" s="6"/>
      <c r="F5" s="6" t="s">
        <v>3</v>
      </c>
      <c r="G5" s="6"/>
      <c r="H5" s="6"/>
      <c r="I5" s="7"/>
      <c r="J5" s="153" t="s">
        <v>22</v>
      </c>
      <c r="K5" s="311"/>
    </row>
    <row r="6" spans="2:11" ht="12.75" customHeight="1">
      <c r="B6" s="146"/>
      <c r="C6" s="8" t="s">
        <v>0</v>
      </c>
      <c r="D6" s="762" t="s">
        <v>105</v>
      </c>
      <c r="E6" s="747" t="s">
        <v>5</v>
      </c>
      <c r="F6" s="748"/>
      <c r="G6" s="79" t="s">
        <v>4</v>
      </c>
      <c r="H6" s="324" t="s">
        <v>24</v>
      </c>
      <c r="I6" s="763" t="s">
        <v>7</v>
      </c>
      <c r="J6" s="154" t="s">
        <v>26</v>
      </c>
      <c r="K6" s="312" t="s">
        <v>29</v>
      </c>
    </row>
    <row r="7" spans="2:11" ht="12.75" customHeight="1">
      <c r="B7" s="146"/>
      <c r="C7" s="8"/>
      <c r="D7" s="745"/>
      <c r="E7" s="764" t="s">
        <v>103</v>
      </c>
      <c r="F7" s="764" t="s">
        <v>104</v>
      </c>
      <c r="G7" s="11"/>
      <c r="H7" s="397">
        <v>0.015</v>
      </c>
      <c r="I7" s="750"/>
      <c r="J7" s="154"/>
      <c r="K7" s="313"/>
    </row>
    <row r="8" spans="2:11" ht="12.75">
      <c r="B8" s="146"/>
      <c r="C8" s="8"/>
      <c r="D8" s="746"/>
      <c r="E8" s="741"/>
      <c r="F8" s="741"/>
      <c r="G8" s="10"/>
      <c r="H8" s="10"/>
      <c r="I8" s="751"/>
      <c r="J8" s="154"/>
      <c r="K8" s="313"/>
    </row>
    <row r="9" spans="2:11" ht="13.5" thickBot="1">
      <c r="B9" s="147"/>
      <c r="C9" s="155" t="s">
        <v>10</v>
      </c>
      <c r="D9" s="14" t="s">
        <v>11</v>
      </c>
      <c r="E9" s="78" t="s">
        <v>12</v>
      </c>
      <c r="F9" s="78" t="s">
        <v>13</v>
      </c>
      <c r="G9" s="78" t="s">
        <v>14</v>
      </c>
      <c r="H9" s="78" t="s">
        <v>15</v>
      </c>
      <c r="I9" s="78" t="s">
        <v>16</v>
      </c>
      <c r="J9" s="78" t="s">
        <v>17</v>
      </c>
      <c r="K9" s="314"/>
    </row>
    <row r="10" spans="1:11" ht="14.25">
      <c r="A10" s="15"/>
      <c r="B10" s="59" t="s">
        <v>69</v>
      </c>
      <c r="C10" s="156"/>
      <c r="D10" s="12"/>
      <c r="E10" s="12"/>
      <c r="F10" s="12"/>
      <c r="G10" s="185"/>
      <c r="H10" s="184"/>
      <c r="I10" s="12"/>
      <c r="J10" s="157"/>
      <c r="K10" s="315"/>
    </row>
    <row r="11" spans="1:11" ht="12.75">
      <c r="A11" s="15"/>
      <c r="B11" s="16" t="s">
        <v>19</v>
      </c>
      <c r="C11" s="186">
        <f>SUM(D11+G11+H11+I11)</f>
        <v>23078527</v>
      </c>
      <c r="D11" s="187">
        <f aca="true" t="shared" si="0" ref="D11:D18">SUM(E11+F11)</f>
        <v>11576005</v>
      </c>
      <c r="E11" s="187">
        <v>10820005</v>
      </c>
      <c r="F11" s="187">
        <v>756000</v>
      </c>
      <c r="G11" s="166">
        <f>ROUND((E11*0.34+F11*0.34),0)</f>
        <v>3935842</v>
      </c>
      <c r="H11" s="668">
        <f>ROUND((E11*0.015),0)</f>
        <v>162300</v>
      </c>
      <c r="I11" s="187">
        <v>7404380</v>
      </c>
      <c r="J11" s="474">
        <v>36.9</v>
      </c>
      <c r="K11" s="315"/>
    </row>
    <row r="12" spans="1:11" ht="12.75">
      <c r="A12" s="15"/>
      <c r="B12" s="16" t="s">
        <v>98</v>
      </c>
      <c r="C12" s="186">
        <f aca="true" t="shared" si="1" ref="C12:C18">SUM(D12+G12+H12+I12)</f>
        <v>60317124</v>
      </c>
      <c r="D12" s="187">
        <f t="shared" si="0"/>
        <v>36531346</v>
      </c>
      <c r="E12" s="187">
        <v>33161346</v>
      </c>
      <c r="F12" s="187">
        <v>3370000</v>
      </c>
      <c r="G12" s="166">
        <f aca="true" t="shared" si="2" ref="G12:G18">ROUND((E12*0.34+F12*0.34),0)</f>
        <v>12420658</v>
      </c>
      <c r="H12" s="668">
        <f aca="true" t="shared" si="3" ref="H12:H18">ROUND((E12*0.015),0)</f>
        <v>497420</v>
      </c>
      <c r="I12" s="473">
        <f>10867700</f>
        <v>10867700</v>
      </c>
      <c r="J12" s="474">
        <v>103.8</v>
      </c>
      <c r="K12" s="315"/>
    </row>
    <row r="13" spans="1:11" ht="12.75">
      <c r="A13" s="15"/>
      <c r="B13" s="16" t="s">
        <v>99</v>
      </c>
      <c r="C13" s="186">
        <f t="shared" si="1"/>
        <v>30630505</v>
      </c>
      <c r="D13" s="187">
        <f t="shared" si="0"/>
        <v>16301987</v>
      </c>
      <c r="E13" s="187">
        <v>14829987</v>
      </c>
      <c r="F13" s="187">
        <v>1472000</v>
      </c>
      <c r="G13" s="325">
        <f>ROUND((E13*0.34+F13*0.34)-60941,0)</f>
        <v>5481735</v>
      </c>
      <c r="H13" s="668">
        <f t="shared" si="3"/>
        <v>222450</v>
      </c>
      <c r="I13" s="187">
        <v>8624333</v>
      </c>
      <c r="J13" s="474">
        <v>44.24</v>
      </c>
      <c r="K13" s="315"/>
    </row>
    <row r="14" spans="1:11" ht="12.75">
      <c r="A14" s="15"/>
      <c r="B14" s="16" t="s">
        <v>84</v>
      </c>
      <c r="C14" s="186">
        <f t="shared" si="1"/>
        <v>106935282</v>
      </c>
      <c r="D14" s="187">
        <f t="shared" si="0"/>
        <v>40077034</v>
      </c>
      <c r="E14" s="187">
        <v>39737034</v>
      </c>
      <c r="F14" s="187">
        <v>340000</v>
      </c>
      <c r="G14" s="166">
        <f t="shared" si="2"/>
        <v>13626192</v>
      </c>
      <c r="H14" s="668">
        <f t="shared" si="3"/>
        <v>596056</v>
      </c>
      <c r="I14" s="187">
        <v>52636000</v>
      </c>
      <c r="J14" s="474">
        <v>145.39</v>
      </c>
      <c r="K14" s="315"/>
    </row>
    <row r="15" spans="1:11" ht="12.75">
      <c r="A15" s="15"/>
      <c r="B15" s="16" t="s">
        <v>20</v>
      </c>
      <c r="C15" s="186">
        <f t="shared" si="1"/>
        <v>6646000</v>
      </c>
      <c r="D15" s="187">
        <f t="shared" si="0"/>
        <v>0</v>
      </c>
      <c r="E15" s="187"/>
      <c r="F15" s="187"/>
      <c r="G15" s="166"/>
      <c r="H15" s="668">
        <f t="shared" si="3"/>
        <v>0</v>
      </c>
      <c r="I15" s="187">
        <v>6646000</v>
      </c>
      <c r="J15" s="474"/>
      <c r="K15" s="315"/>
    </row>
    <row r="16" spans="1:11" ht="12.75">
      <c r="A16" s="15"/>
      <c r="B16" s="93" t="s">
        <v>59</v>
      </c>
      <c r="C16" s="186">
        <f t="shared" si="1"/>
        <v>70283479</v>
      </c>
      <c r="D16" s="188">
        <f t="shared" si="0"/>
        <v>45922273</v>
      </c>
      <c r="E16" s="187">
        <v>32738273</v>
      </c>
      <c r="F16" s="188">
        <v>13184000</v>
      </c>
      <c r="G16" s="325">
        <f>ROUND((E16*0.34+F16*0.34)-2997390,0)</f>
        <v>12616183</v>
      </c>
      <c r="H16" s="668">
        <f t="shared" si="3"/>
        <v>491074</v>
      </c>
      <c r="I16" s="188">
        <v>11253949</v>
      </c>
      <c r="J16" s="476">
        <v>103.18</v>
      </c>
      <c r="K16" s="316"/>
    </row>
    <row r="17" spans="1:11" ht="12.75">
      <c r="A17" s="15"/>
      <c r="B17" s="93" t="s">
        <v>60</v>
      </c>
      <c r="C17" s="186">
        <f t="shared" si="1"/>
        <v>183186696</v>
      </c>
      <c r="D17" s="188">
        <f t="shared" si="0"/>
        <v>55058062</v>
      </c>
      <c r="E17" s="187">
        <v>24007572</v>
      </c>
      <c r="F17" s="188">
        <v>31050490</v>
      </c>
      <c r="G17" s="668">
        <f>ROUND((E17*0.34+F17*0.34),0)</f>
        <v>18719741</v>
      </c>
      <c r="H17" s="668">
        <f t="shared" si="3"/>
        <v>360114</v>
      </c>
      <c r="I17" s="188">
        <v>109048779</v>
      </c>
      <c r="J17" s="476">
        <v>70</v>
      </c>
      <c r="K17" s="316"/>
    </row>
    <row r="18" spans="1:11" ht="12.75">
      <c r="A18" s="15"/>
      <c r="B18" s="93" t="s">
        <v>40</v>
      </c>
      <c r="C18" s="186">
        <f t="shared" si="1"/>
        <v>5059048</v>
      </c>
      <c r="D18" s="188">
        <f t="shared" si="0"/>
        <v>2892545</v>
      </c>
      <c r="E18" s="187">
        <v>2002545</v>
      </c>
      <c r="F18" s="188">
        <v>890000</v>
      </c>
      <c r="G18" s="166">
        <f t="shared" si="2"/>
        <v>983465</v>
      </c>
      <c r="H18" s="668">
        <f t="shared" si="3"/>
        <v>30038</v>
      </c>
      <c r="I18" s="188">
        <v>1153000</v>
      </c>
      <c r="J18" s="476">
        <v>6</v>
      </c>
      <c r="K18" s="316"/>
    </row>
    <row r="19" spans="2:11" ht="13.5" thickBot="1">
      <c r="B19" s="149" t="s">
        <v>70</v>
      </c>
      <c r="C19" s="189">
        <f>SUM(C11:C18)</f>
        <v>486136661</v>
      </c>
      <c r="D19" s="190">
        <f aca="true" t="shared" si="4" ref="D19:I19">SUM(D11:D18)</f>
        <v>208359252</v>
      </c>
      <c r="E19" s="190">
        <f>SUM(E11:E18)</f>
        <v>157296762</v>
      </c>
      <c r="F19" s="190">
        <f t="shared" si="4"/>
        <v>51062490</v>
      </c>
      <c r="G19" s="191">
        <f t="shared" si="4"/>
        <v>67783816</v>
      </c>
      <c r="H19" s="191">
        <f t="shared" si="4"/>
        <v>2359452</v>
      </c>
      <c r="I19" s="191">
        <f t="shared" si="4"/>
        <v>207634141</v>
      </c>
      <c r="J19" s="158">
        <f>SUM(J11:J18)</f>
        <v>509.51</v>
      </c>
      <c r="K19" s="317"/>
    </row>
    <row r="20" spans="2:11" ht="13.5" thickTop="1">
      <c r="B20" s="25"/>
      <c r="C20" s="192"/>
      <c r="D20" s="170"/>
      <c r="E20" s="170"/>
      <c r="F20" s="170"/>
      <c r="G20" s="210"/>
      <c r="H20" s="210"/>
      <c r="I20" s="193"/>
      <c r="J20" s="159"/>
      <c r="K20" s="318"/>
    </row>
    <row r="21" spans="2:11" ht="14.25">
      <c r="B21" s="486" t="s">
        <v>238</v>
      </c>
      <c r="C21" s="192"/>
      <c r="D21" s="170"/>
      <c r="E21" s="170"/>
      <c r="F21" s="170"/>
      <c r="G21" s="198"/>
      <c r="H21" s="193"/>
      <c r="I21" s="170"/>
      <c r="J21" s="159"/>
      <c r="K21" s="319"/>
    </row>
    <row r="22" spans="2:11" ht="12.75">
      <c r="B22" s="330" t="s">
        <v>159</v>
      </c>
      <c r="C22" s="177">
        <f aca="true" t="shared" si="5" ref="C22:C28">SUM(D22+G22+I22)</f>
        <v>7682288</v>
      </c>
      <c r="D22" s="178">
        <f aca="true" t="shared" si="6" ref="D22:D28">SUM(E22+F22)</f>
        <v>0</v>
      </c>
      <c r="E22" s="178"/>
      <c r="F22" s="178"/>
      <c r="G22" s="178"/>
      <c r="H22" s="178"/>
      <c r="I22" s="178">
        <v>7682288</v>
      </c>
      <c r="J22" s="160"/>
      <c r="K22" s="319"/>
    </row>
    <row r="23" spans="2:11" ht="12.75">
      <c r="B23" s="330" t="s">
        <v>160</v>
      </c>
      <c r="C23" s="177">
        <f t="shared" si="5"/>
        <v>1374000</v>
      </c>
      <c r="D23" s="178">
        <f t="shared" si="6"/>
        <v>0</v>
      </c>
      <c r="E23" s="178"/>
      <c r="F23" s="178"/>
      <c r="G23" s="178"/>
      <c r="H23" s="178"/>
      <c r="I23" s="178">
        <v>1374000</v>
      </c>
      <c r="J23" s="160"/>
      <c r="K23" s="319"/>
    </row>
    <row r="24" spans="2:11" ht="12.75">
      <c r="B24" s="330" t="s">
        <v>161</v>
      </c>
      <c r="C24" s="177">
        <f t="shared" si="5"/>
        <v>1776000</v>
      </c>
      <c r="D24" s="178">
        <f>SUM(E24+F24)</f>
        <v>0</v>
      </c>
      <c r="E24" s="178"/>
      <c r="F24" s="178"/>
      <c r="G24" s="178"/>
      <c r="H24" s="178"/>
      <c r="I24" s="178">
        <v>1776000</v>
      </c>
      <c r="J24" s="160"/>
      <c r="K24" s="319"/>
    </row>
    <row r="25" spans="2:11" ht="12.75">
      <c r="B25" s="330" t="s">
        <v>162</v>
      </c>
      <c r="C25" s="177">
        <f t="shared" si="5"/>
        <v>623000</v>
      </c>
      <c r="D25" s="178">
        <f>SUM(E25+F25)</f>
        <v>0</v>
      </c>
      <c r="E25" s="178"/>
      <c r="F25" s="178"/>
      <c r="G25" s="178"/>
      <c r="H25" s="178"/>
      <c r="I25" s="178">
        <v>623000</v>
      </c>
      <c r="J25" s="160"/>
      <c r="K25" s="319"/>
    </row>
    <row r="26" spans="2:11" ht="12.75">
      <c r="B26" s="330" t="s">
        <v>163</v>
      </c>
      <c r="C26" s="177">
        <f t="shared" si="5"/>
        <v>196000</v>
      </c>
      <c r="D26" s="178">
        <f>SUM(E26+F26)</f>
        <v>0</v>
      </c>
      <c r="E26" s="178"/>
      <c r="F26" s="178"/>
      <c r="G26" s="178"/>
      <c r="H26" s="178"/>
      <c r="I26" s="178">
        <v>196000</v>
      </c>
      <c r="J26" s="160"/>
      <c r="K26" s="319"/>
    </row>
    <row r="27" spans="2:11" ht="12.75">
      <c r="B27" s="330" t="s">
        <v>164</v>
      </c>
      <c r="C27" s="177">
        <f t="shared" si="5"/>
        <v>1061000</v>
      </c>
      <c r="D27" s="178">
        <f>SUM(E27+F27)</f>
        <v>0</v>
      </c>
      <c r="E27" s="178"/>
      <c r="F27" s="178"/>
      <c r="G27" s="178"/>
      <c r="H27" s="178"/>
      <c r="I27" s="178">
        <v>1061000</v>
      </c>
      <c r="J27" s="160"/>
      <c r="K27" s="319"/>
    </row>
    <row r="28" spans="2:11" ht="12.75">
      <c r="B28" s="330" t="s">
        <v>165</v>
      </c>
      <c r="C28" s="177">
        <f t="shared" si="5"/>
        <v>278000</v>
      </c>
      <c r="D28" s="178">
        <f t="shared" si="6"/>
        <v>0</v>
      </c>
      <c r="E28" s="178"/>
      <c r="F28" s="178"/>
      <c r="G28" s="178"/>
      <c r="H28" s="178"/>
      <c r="I28" s="178">
        <v>278000</v>
      </c>
      <c r="J28" s="160"/>
      <c r="K28" s="319"/>
    </row>
    <row r="29" spans="2:11" ht="13.5" thickBot="1">
      <c r="B29" s="493" t="s">
        <v>71</v>
      </c>
      <c r="C29" s="200">
        <f>SUM(C22:C28)</f>
        <v>12990288</v>
      </c>
      <c r="D29" s="201">
        <f aca="true" t="shared" si="7" ref="D29:J29">SUM(D22:D28)</f>
        <v>0</v>
      </c>
      <c r="E29" s="201">
        <f t="shared" si="7"/>
        <v>0</v>
      </c>
      <c r="F29" s="201">
        <f t="shared" si="7"/>
        <v>0</v>
      </c>
      <c r="G29" s="201">
        <f t="shared" si="7"/>
        <v>0</v>
      </c>
      <c r="H29" s="202">
        <f>SUM(H22:H28)</f>
        <v>0</v>
      </c>
      <c r="I29" s="202">
        <f t="shared" si="7"/>
        <v>12990288</v>
      </c>
      <c r="J29" s="161">
        <f t="shared" si="7"/>
        <v>0</v>
      </c>
      <c r="K29" s="317"/>
    </row>
    <row r="30" spans="2:11" ht="13.5" thickTop="1">
      <c r="B30" s="150"/>
      <c r="C30" s="203"/>
      <c r="D30" s="204"/>
      <c r="E30" s="204"/>
      <c r="F30" s="204"/>
      <c r="G30" s="204"/>
      <c r="H30" s="204"/>
      <c r="I30" s="204"/>
      <c r="J30" s="162"/>
      <c r="K30" s="320"/>
    </row>
    <row r="31" spans="1:11" ht="14.25">
      <c r="A31" s="23"/>
      <c r="B31" s="148" t="s">
        <v>79</v>
      </c>
      <c r="C31" s="205"/>
      <c r="D31" s="206"/>
      <c r="E31" s="206"/>
      <c r="F31" s="206"/>
      <c r="G31" s="206"/>
      <c r="H31" s="206"/>
      <c r="I31" s="206"/>
      <c r="J31" s="163"/>
      <c r="K31" s="318"/>
    </row>
    <row r="32" spans="1:11" ht="12.75">
      <c r="A32" s="61"/>
      <c r="B32" s="151" t="str">
        <f>'T1'!B32</f>
        <v>ReferNet</v>
      </c>
      <c r="C32" s="177">
        <f aca="true" t="shared" si="8" ref="C32:C38">SUM(D32+G32+H32+I32)</f>
        <v>900000</v>
      </c>
      <c r="D32" s="178">
        <f aca="true" t="shared" si="9" ref="D32:D38">SUM(E32+F32)</f>
        <v>434000</v>
      </c>
      <c r="E32" s="178">
        <f>'T1'!E32</f>
        <v>360000</v>
      </c>
      <c r="F32" s="178">
        <f>'T1'!F32</f>
        <v>74000</v>
      </c>
      <c r="G32" s="178">
        <f>'T1'!G32</f>
        <v>122400</v>
      </c>
      <c r="H32" s="178">
        <f>'T1'!H32</f>
        <v>5400</v>
      </c>
      <c r="I32" s="83">
        <f>'T1'!I32</f>
        <v>338200</v>
      </c>
      <c r="J32" s="160">
        <f>'T1'!J32</f>
        <v>1.25</v>
      </c>
      <c r="K32" s="321" t="str">
        <f>'T1'!K32</f>
        <v>NÚV</v>
      </c>
    </row>
    <row r="33" spans="2:11" ht="12.75" customHeight="1">
      <c r="B33" s="151" t="str">
        <f>'T1'!B33</f>
        <v>EUROPASS</v>
      </c>
      <c r="C33" s="177">
        <f t="shared" si="8"/>
        <v>1837000</v>
      </c>
      <c r="D33" s="178">
        <f t="shared" si="9"/>
        <v>987000</v>
      </c>
      <c r="E33" s="178">
        <f>'T1'!E33</f>
        <v>450000</v>
      </c>
      <c r="F33" s="178">
        <f>'T1'!F33</f>
        <v>537000</v>
      </c>
      <c r="G33" s="178">
        <f>'T1'!G33</f>
        <v>250000</v>
      </c>
      <c r="H33" s="178">
        <f>'T1'!H33</f>
        <v>6750</v>
      </c>
      <c r="I33" s="83">
        <f>'T1'!I33</f>
        <v>593250</v>
      </c>
      <c r="J33" s="160">
        <f>'T1'!J33</f>
        <v>1.5</v>
      </c>
      <c r="K33" s="321" t="str">
        <f>'T1'!K33</f>
        <v>NÚV</v>
      </c>
    </row>
    <row r="34" spans="2:11" ht="12.75" customHeight="1">
      <c r="B34" s="151" t="str">
        <f>'T1'!B34</f>
        <v>Pokusné ověřování Matematika+</v>
      </c>
      <c r="C34" s="177">
        <f t="shared" si="8"/>
        <v>1332305</v>
      </c>
      <c r="D34" s="178">
        <f t="shared" si="9"/>
        <v>350000</v>
      </c>
      <c r="E34" s="178">
        <f>'T1'!E34</f>
        <v>0</v>
      </c>
      <c r="F34" s="178">
        <f>'T1'!F34</f>
        <v>350000</v>
      </c>
      <c r="G34" s="178">
        <f>'T1'!G34</f>
        <v>119000</v>
      </c>
      <c r="H34" s="178">
        <f>'T1'!H34</f>
        <v>0</v>
      </c>
      <c r="I34" s="83">
        <f>'T1'!I34</f>
        <v>863305</v>
      </c>
      <c r="J34" s="160">
        <f>'T1'!J34</f>
        <v>0</v>
      </c>
      <c r="K34" s="321" t="str">
        <f>'T1'!K34</f>
        <v>CZVV</v>
      </c>
    </row>
    <row r="35" spans="2:11" ht="12.75" customHeight="1">
      <c r="B35" s="151" t="str">
        <f>'T1'!B35</f>
        <v>Pilotní ověřování přijímacího řízení na SŠ 2015</v>
      </c>
      <c r="C35" s="177">
        <f t="shared" si="8"/>
        <v>7492333</v>
      </c>
      <c r="D35" s="178">
        <f t="shared" si="9"/>
        <v>2811045</v>
      </c>
      <c r="E35" s="178">
        <f>'T1'!E35</f>
        <v>0</v>
      </c>
      <c r="F35" s="178">
        <f>'T1'!F35</f>
        <v>2811045</v>
      </c>
      <c r="G35" s="178">
        <f>'T1'!G35</f>
        <v>955755</v>
      </c>
      <c r="H35" s="178">
        <f>'T1'!H35</f>
        <v>0</v>
      </c>
      <c r="I35" s="83">
        <f>'T1'!I35</f>
        <v>3725533</v>
      </c>
      <c r="J35" s="160">
        <f>'T1'!J35</f>
        <v>0</v>
      </c>
      <c r="K35" s="321" t="str">
        <f>'T1'!K35</f>
        <v>CZVV</v>
      </c>
    </row>
    <row r="36" spans="2:11" ht="12.75" customHeight="1">
      <c r="B36" s="151" t="str">
        <f>'T1'!B36</f>
        <v>Tisk pracovních sešitů Matermatika pro 6.a7.ročník ZŠ v pološtině</v>
      </c>
      <c r="C36" s="177">
        <f>SUM(D36+G36+H36+I36)</f>
        <v>430000</v>
      </c>
      <c r="D36" s="178">
        <f>SUM(E36+F36)</f>
        <v>0</v>
      </c>
      <c r="E36" s="178">
        <f>'T1'!E36</f>
        <v>0</v>
      </c>
      <c r="F36" s="178">
        <f>'T1'!F36</f>
        <v>0</v>
      </c>
      <c r="G36" s="178">
        <f>'T1'!G36</f>
        <v>0</v>
      </c>
      <c r="H36" s="178">
        <f>'T1'!H36</f>
        <v>0</v>
      </c>
      <c r="I36" s="83">
        <f>'T1'!I36</f>
        <v>430000</v>
      </c>
      <c r="J36" s="160">
        <f>'T1'!J36</f>
        <v>0</v>
      </c>
      <c r="K36" s="321" t="str">
        <f>'T1'!K36</f>
        <v>PC ČT</v>
      </c>
    </row>
    <row r="37" spans="2:11" ht="12.75">
      <c r="B37" s="151" t="str">
        <f>'T1'!B37</f>
        <v>Evropská jazyková cena Label</v>
      </c>
      <c r="C37" s="177">
        <f t="shared" si="8"/>
        <v>1400000</v>
      </c>
      <c r="D37" s="178">
        <f t="shared" si="9"/>
        <v>0</v>
      </c>
      <c r="E37" s="178">
        <f>'T1'!E37</f>
        <v>0</v>
      </c>
      <c r="F37" s="178">
        <f>'T1'!F37</f>
        <v>0</v>
      </c>
      <c r="G37" s="178">
        <f>'T1'!G37</f>
        <v>0</v>
      </c>
      <c r="H37" s="178">
        <f>'T1'!H37</f>
        <v>0</v>
      </c>
      <c r="I37" s="83">
        <f>'T1'!I37</f>
        <v>1400000</v>
      </c>
      <c r="J37" s="160">
        <f>'T1'!J37</f>
        <v>0</v>
      </c>
      <c r="K37" s="321" t="str">
        <f>'T1'!K37</f>
        <v>sek. II</v>
      </c>
    </row>
    <row r="38" spans="2:11" ht="12.75">
      <c r="B38" s="151" t="str">
        <f>'T1'!B38</f>
        <v>Evropské školy Brusel a Lucemburk</v>
      </c>
      <c r="C38" s="177">
        <f t="shared" si="8"/>
        <v>7651986</v>
      </c>
      <c r="D38" s="178">
        <f t="shared" si="9"/>
        <v>5647222</v>
      </c>
      <c r="E38" s="178">
        <f>'T1'!E38</f>
        <v>5647222</v>
      </c>
      <c r="F38" s="178">
        <f>'T1'!F38</f>
        <v>0</v>
      </c>
      <c r="G38" s="178">
        <f>'T1'!G38</f>
        <v>1920056</v>
      </c>
      <c r="H38" s="178">
        <f>'T1'!H38</f>
        <v>84708</v>
      </c>
      <c r="I38" s="83">
        <f>'T1'!I38</f>
        <v>0</v>
      </c>
      <c r="J38" s="160">
        <f>'T1'!J38</f>
        <v>16</v>
      </c>
      <c r="K38" s="321" t="str">
        <f>'T1'!K38</f>
        <v>DZS</v>
      </c>
    </row>
    <row r="39" spans="2:11" ht="12.75">
      <c r="B39" s="151" t="str">
        <f>'T1'!B39</f>
        <v>Evropské školy Brusel a Lucemburk příp.zvolení ředitele</v>
      </c>
      <c r="C39" s="177">
        <f aca="true" t="shared" si="10" ref="C39:C44">SUM(D39+G39+H39+I39)</f>
        <v>1018035</v>
      </c>
      <c r="D39" s="178">
        <f aca="true" t="shared" si="11" ref="D39:D44">SUM(E39+F39)</f>
        <v>751317</v>
      </c>
      <c r="E39" s="178">
        <f>'T1'!E39</f>
        <v>751317</v>
      </c>
      <c r="F39" s="178">
        <f>'T1'!F39</f>
        <v>0</v>
      </c>
      <c r="G39" s="178">
        <f>'T1'!G39</f>
        <v>255448</v>
      </c>
      <c r="H39" s="178">
        <f>'T1'!H39</f>
        <v>11270</v>
      </c>
      <c r="I39" s="83">
        <f>'T1'!I39</f>
        <v>0</v>
      </c>
      <c r="J39" s="160">
        <f>'T1'!J39</f>
        <v>1.66</v>
      </c>
      <c r="K39" s="321" t="str">
        <f>'T1'!K39</f>
        <v>DZS</v>
      </c>
    </row>
    <row r="40" spans="2:11" ht="12.75">
      <c r="B40" s="151" t="str">
        <f>'T1'!B40</f>
        <v>Vzdělávací seminář pro české učitele "Jak vyučovat o holocaustu" </v>
      </c>
      <c r="C40" s="177">
        <f t="shared" si="10"/>
        <v>300000</v>
      </c>
      <c r="D40" s="178">
        <f t="shared" si="11"/>
        <v>0</v>
      </c>
      <c r="E40" s="178">
        <f>'T1'!E40</f>
        <v>0</v>
      </c>
      <c r="F40" s="178">
        <f>'T1'!F40</f>
        <v>0</v>
      </c>
      <c r="G40" s="178">
        <f>'T1'!G40</f>
        <v>0</v>
      </c>
      <c r="H40" s="178">
        <f>'T1'!H40</f>
        <v>0</v>
      </c>
      <c r="I40" s="83">
        <f>'T1'!I40</f>
        <v>300000</v>
      </c>
      <c r="J40" s="160">
        <f>'T1'!J40</f>
        <v>0</v>
      </c>
      <c r="K40" s="321" t="str">
        <f>'T1'!K40</f>
        <v>DZS</v>
      </c>
    </row>
    <row r="41" spans="2:11" ht="12.75">
      <c r="B41" s="151" t="str">
        <f>'T1'!B41</f>
        <v>Stipendia v programu AKTION </v>
      </c>
      <c r="C41" s="177">
        <f t="shared" si="10"/>
        <v>824000</v>
      </c>
      <c r="D41" s="178">
        <f t="shared" si="11"/>
        <v>0</v>
      </c>
      <c r="E41" s="178">
        <f>'T1'!E41</f>
        <v>0</v>
      </c>
      <c r="F41" s="178">
        <f>'T1'!F41</f>
        <v>0</v>
      </c>
      <c r="G41" s="178">
        <f>'T1'!G41</f>
        <v>0</v>
      </c>
      <c r="H41" s="178">
        <f>'T1'!H41</f>
        <v>0</v>
      </c>
      <c r="I41" s="83">
        <f>'T1'!I41</f>
        <v>824000</v>
      </c>
      <c r="J41" s="160">
        <f>'T1'!J41</f>
        <v>0</v>
      </c>
      <c r="K41" s="321" t="str">
        <f>'T1'!K41</f>
        <v>DZS</v>
      </c>
    </row>
    <row r="42" spans="2:12" ht="12.75">
      <c r="B42" s="151" t="str">
        <f>'T1'!B42</f>
        <v>Náklady na činnost NK CEEPUS </v>
      </c>
      <c r="C42" s="177">
        <f t="shared" si="10"/>
        <v>140000</v>
      </c>
      <c r="D42" s="178">
        <f t="shared" si="11"/>
        <v>30000</v>
      </c>
      <c r="E42" s="178">
        <f>'T1'!E42</f>
        <v>0</v>
      </c>
      <c r="F42" s="178">
        <f>'T1'!F42</f>
        <v>30000</v>
      </c>
      <c r="G42" s="178">
        <f>'T1'!G42</f>
        <v>0</v>
      </c>
      <c r="H42" s="178">
        <f>'T1'!H42</f>
        <v>0</v>
      </c>
      <c r="I42" s="83">
        <f>'T1'!I42</f>
        <v>110000</v>
      </c>
      <c r="J42" s="160">
        <f>'T1'!J42</f>
        <v>0</v>
      </c>
      <c r="K42" s="321" t="str">
        <f>'T1'!K42</f>
        <v>DZS</v>
      </c>
      <c r="L42" s="84"/>
    </row>
    <row r="43" spans="2:12" ht="25.5">
      <c r="B43" s="151" t="str">
        <f>'T1'!B43</f>
        <v>Finalizace uložení, péče a ochrany knihovní fondu po přestěhování do nového sídla PK</v>
      </c>
      <c r="C43" s="177">
        <f t="shared" si="10"/>
        <v>1251600</v>
      </c>
      <c r="D43" s="178">
        <f t="shared" si="11"/>
        <v>208000</v>
      </c>
      <c r="E43" s="178">
        <f>'T1'!E43</f>
        <v>0</v>
      </c>
      <c r="F43" s="178">
        <f>'T1'!F43</f>
        <v>208000</v>
      </c>
      <c r="G43" s="178">
        <f>'T1'!G43</f>
        <v>43600</v>
      </c>
      <c r="H43" s="178">
        <f>'T1'!H43</f>
        <v>0</v>
      </c>
      <c r="I43" s="83">
        <f>'T1'!I43</f>
        <v>1000000</v>
      </c>
      <c r="J43" s="160">
        <f>'T1'!J43</f>
        <v>0</v>
      </c>
      <c r="K43" s="321" t="str">
        <f>'T1'!K43</f>
        <v>NPMKK</v>
      </c>
      <c r="L43" s="84"/>
    </row>
    <row r="44" spans="2:12" ht="12.75">
      <c r="B44" s="151" t="str">
        <f>'T1'!B44</f>
        <v> IPs - příprava projektů OP VVV</v>
      </c>
      <c r="C44" s="177">
        <f t="shared" si="10"/>
        <v>637130</v>
      </c>
      <c r="D44" s="178">
        <f t="shared" si="11"/>
        <v>538000</v>
      </c>
      <c r="E44" s="178">
        <f>'T1'!E44</f>
        <v>0</v>
      </c>
      <c r="F44" s="178">
        <f>'T1'!F44</f>
        <v>538000</v>
      </c>
      <c r="G44" s="178">
        <f>'T1'!G44</f>
        <v>99130</v>
      </c>
      <c r="H44" s="178">
        <f>'T1'!H44</f>
        <v>0</v>
      </c>
      <c r="I44" s="83">
        <f>'T1'!I44</f>
        <v>0</v>
      </c>
      <c r="J44" s="160">
        <f>'T1'!J44</f>
        <v>0</v>
      </c>
      <c r="K44" s="321" t="str">
        <f>'T1'!K44</f>
        <v> NIDV a NÚV</v>
      </c>
      <c r="L44" s="84"/>
    </row>
    <row r="45" spans="2:12" ht="13.5" thickBot="1">
      <c r="B45" s="326" t="str">
        <f>'T1'!B45</f>
        <v>Účelové/ostatní prostředky celkem</v>
      </c>
      <c r="C45" s="327">
        <f>SUM(C32:C44)</f>
        <v>25214389</v>
      </c>
      <c r="D45" s="207">
        <f aca="true" t="shared" si="12" ref="D45:J45">SUM(D32:D44)</f>
        <v>11756584</v>
      </c>
      <c r="E45" s="207">
        <f t="shared" si="12"/>
        <v>7208539</v>
      </c>
      <c r="F45" s="207">
        <f t="shared" si="12"/>
        <v>4548045</v>
      </c>
      <c r="G45" s="207">
        <f t="shared" si="12"/>
        <v>3765389</v>
      </c>
      <c r="H45" s="207">
        <f t="shared" si="12"/>
        <v>108128</v>
      </c>
      <c r="I45" s="207">
        <f t="shared" si="12"/>
        <v>9584288</v>
      </c>
      <c r="J45" s="164">
        <f t="shared" si="12"/>
        <v>20.41</v>
      </c>
      <c r="K45" s="663"/>
      <c r="L45" s="84"/>
    </row>
    <row r="46" spans="2:11" ht="12.75">
      <c r="B46" s="151"/>
      <c r="C46" s="177"/>
      <c r="D46" s="178"/>
      <c r="E46" s="178"/>
      <c r="F46" s="178"/>
      <c r="G46" s="178"/>
      <c r="H46" s="178"/>
      <c r="I46" s="83"/>
      <c r="J46" s="160"/>
      <c r="K46" s="321"/>
    </row>
    <row r="47" spans="2:11" ht="12.75">
      <c r="B47" s="610" t="str">
        <f>'T1'!B48</f>
        <v>Cizinci (účelové prostředky)</v>
      </c>
      <c r="C47" s="177"/>
      <c r="D47" s="178"/>
      <c r="E47" s="178"/>
      <c r="F47" s="178"/>
      <c r="G47" s="178"/>
      <c r="H47" s="178"/>
      <c r="I47" s="83"/>
      <c r="J47" s="160"/>
      <c r="K47" s="321"/>
    </row>
    <row r="48" spans="2:11" ht="25.5">
      <c r="B48" s="151" t="str">
        <f>'T1'!B49</f>
        <v>Systém výuky a zkoušek z českého jazyka pro cizince jako jedné z podmínek pro udělení trvalého pobytu (Čeština pro cizince)</v>
      </c>
      <c r="C48" s="177">
        <f aca="true" t="shared" si="13" ref="C48:C81">SUM(D48+G48+H48+I48)</f>
        <v>1650000</v>
      </c>
      <c r="D48" s="178">
        <f aca="true" t="shared" si="14" ref="D48:D81">SUM(E48+F48)</f>
        <v>650000</v>
      </c>
      <c r="E48" s="178">
        <f>'T1'!E49</f>
        <v>0</v>
      </c>
      <c r="F48" s="178">
        <f>'T1'!F49</f>
        <v>650000</v>
      </c>
      <c r="G48" s="178">
        <f>'T1'!G49</f>
        <v>184000</v>
      </c>
      <c r="H48" s="178">
        <f>'T1'!H49</f>
        <v>0</v>
      </c>
      <c r="I48" s="83">
        <f>'T1'!I49</f>
        <v>816000</v>
      </c>
      <c r="J48" s="160">
        <f>'T1'!J49</f>
        <v>0</v>
      </c>
      <c r="K48" s="321" t="str">
        <f>'T1'!K49</f>
        <v>sek. II/NÚV</v>
      </c>
    </row>
    <row r="49" spans="2:11" ht="25.5">
      <c r="B49" s="151" t="str">
        <f>'T1'!B50</f>
        <v>Systém zkoušek z českých reálií pro účely udělení státního občanství ČR</v>
      </c>
      <c r="C49" s="177">
        <f t="shared" si="13"/>
        <v>200000</v>
      </c>
      <c r="D49" s="178">
        <f t="shared" si="14"/>
        <v>200000</v>
      </c>
      <c r="E49" s="178">
        <f>'T1'!E50</f>
        <v>0</v>
      </c>
      <c r="F49" s="178">
        <f>'T1'!F50</f>
        <v>200000</v>
      </c>
      <c r="G49" s="178">
        <f>'T1'!G50</f>
        <v>0</v>
      </c>
      <c r="H49" s="178">
        <f>'T1'!H50</f>
        <v>0</v>
      </c>
      <c r="I49" s="83">
        <f>'T1'!I50</f>
        <v>0</v>
      </c>
      <c r="J49" s="160">
        <f>'T1'!J50</f>
        <v>0</v>
      </c>
      <c r="K49" s="321" t="str">
        <f>'T1'!K50</f>
        <v>sek. II/NÚV</v>
      </c>
    </row>
    <row r="50" spans="2:11" ht="12.75">
      <c r="B50" s="151" t="str">
        <f>'T1'!B51</f>
        <v>Integrace cizinců - Žáci cizinci ve školách *)</v>
      </c>
      <c r="C50" s="177">
        <f t="shared" si="13"/>
        <v>200000</v>
      </c>
      <c r="D50" s="178">
        <f t="shared" si="14"/>
        <v>0</v>
      </c>
      <c r="E50" s="178">
        <f>'T1'!E51</f>
        <v>0</v>
      </c>
      <c r="F50" s="178">
        <f>'T1'!F51</f>
        <v>0</v>
      </c>
      <c r="G50" s="178">
        <f>'T1'!G51</f>
        <v>0</v>
      </c>
      <c r="H50" s="178">
        <f>'T1'!H51</f>
        <v>0</v>
      </c>
      <c r="I50" s="83">
        <f>'T1'!I51</f>
        <v>200000</v>
      </c>
      <c r="J50" s="160">
        <f>'T1'!J51</f>
        <v>0</v>
      </c>
      <c r="K50" s="321" t="str">
        <f>'T1'!K51</f>
        <v>NIDV, v r.2015 z OPŘO</v>
      </c>
    </row>
    <row r="51" spans="2:11" ht="13.5" thickBot="1">
      <c r="B51" s="326" t="str">
        <f>'T1'!B52</f>
        <v>Cizinci celkem</v>
      </c>
      <c r="C51" s="327">
        <f>SUM(C48:C50)</f>
        <v>2050000</v>
      </c>
      <c r="D51" s="207">
        <f aca="true" t="shared" si="15" ref="D51:J51">SUM(D48:D50)</f>
        <v>850000</v>
      </c>
      <c r="E51" s="207">
        <f t="shared" si="15"/>
        <v>0</v>
      </c>
      <c r="F51" s="207">
        <f t="shared" si="15"/>
        <v>850000</v>
      </c>
      <c r="G51" s="207">
        <f t="shared" si="15"/>
        <v>184000</v>
      </c>
      <c r="H51" s="207">
        <f t="shared" si="15"/>
        <v>0</v>
      </c>
      <c r="I51" s="207">
        <f t="shared" si="15"/>
        <v>1016000</v>
      </c>
      <c r="J51" s="164">
        <f t="shared" si="15"/>
        <v>0</v>
      </c>
      <c r="K51" s="663"/>
    </row>
    <row r="52" spans="2:11" ht="12.75">
      <c r="B52" s="151"/>
      <c r="C52" s="177"/>
      <c r="D52" s="178"/>
      <c r="E52" s="178"/>
      <c r="F52" s="178"/>
      <c r="G52" s="178"/>
      <c r="H52" s="178"/>
      <c r="I52" s="83"/>
      <c r="J52" s="160"/>
      <c r="K52" s="321"/>
    </row>
    <row r="53" spans="2:11" ht="12.75">
      <c r="B53" s="610" t="str">
        <f>'T1'!B54</f>
        <v>Mezinárodní aktivity </v>
      </c>
      <c r="C53" s="177"/>
      <c r="D53" s="178"/>
      <c r="E53" s="178"/>
      <c r="F53" s="178"/>
      <c r="G53" s="178"/>
      <c r="H53" s="178"/>
      <c r="I53" s="83"/>
      <c r="J53" s="160"/>
      <c r="K53" s="321"/>
    </row>
    <row r="54" spans="2:11" ht="12.75">
      <c r="B54" s="151" t="str">
        <f>'T1'!B55</f>
        <v>Mezinárodní konference</v>
      </c>
      <c r="C54" s="177">
        <f t="shared" si="13"/>
        <v>3159783</v>
      </c>
      <c r="D54" s="178">
        <f t="shared" si="14"/>
        <v>475000</v>
      </c>
      <c r="E54" s="178">
        <f>'T1'!E55</f>
        <v>134000</v>
      </c>
      <c r="F54" s="178">
        <f>'T1'!F55</f>
        <v>341000</v>
      </c>
      <c r="G54" s="178">
        <f>'T1'!G55</f>
        <v>46000</v>
      </c>
      <c r="H54" s="178">
        <f>'T1'!H55</f>
        <v>1670</v>
      </c>
      <c r="I54" s="83">
        <f>'T1'!I55</f>
        <v>2637113</v>
      </c>
      <c r="J54" s="160">
        <f>'T1'!J55</f>
        <v>0</v>
      </c>
      <c r="K54" s="321" t="str">
        <f>'T1'!K55</f>
        <v>odb. 64</v>
      </c>
    </row>
    <row r="55" spans="2:11" ht="12.75">
      <c r="B55" s="151" t="str">
        <f>'T1'!B56</f>
        <v>Příspěvky a vklady mezinárodním organizacím</v>
      </c>
      <c r="C55" s="177">
        <f t="shared" si="13"/>
        <v>7684044</v>
      </c>
      <c r="D55" s="178">
        <f t="shared" si="14"/>
        <v>0</v>
      </c>
      <c r="E55" s="178">
        <f>'T1'!E56</f>
        <v>0</v>
      </c>
      <c r="F55" s="178">
        <f>'T1'!F56</f>
        <v>0</v>
      </c>
      <c r="G55" s="178">
        <f>'T1'!G56</f>
        <v>0</v>
      </c>
      <c r="H55" s="178">
        <f>'T1'!H56</f>
        <v>0</v>
      </c>
      <c r="I55" s="83">
        <f>'T1'!I56</f>
        <v>7684044</v>
      </c>
      <c r="J55" s="160">
        <f>'T1'!J56</f>
        <v>0</v>
      </c>
      <c r="K55" s="321" t="str">
        <f>'T1'!K56</f>
        <v>odb. 64</v>
      </c>
    </row>
    <row r="56" spans="2:11" ht="12.75">
      <c r="B56" s="151" t="str">
        <f>'T1'!B57</f>
        <v>Stipendium Madeleine Albrightové na Univerzitě v Glasgow </v>
      </c>
      <c r="C56" s="177">
        <f t="shared" si="13"/>
        <v>1085000</v>
      </c>
      <c r="D56" s="178">
        <f t="shared" si="14"/>
        <v>0</v>
      </c>
      <c r="E56" s="178">
        <f>'T1'!E57</f>
        <v>0</v>
      </c>
      <c r="F56" s="178">
        <f>'T1'!F57</f>
        <v>0</v>
      </c>
      <c r="G56" s="178">
        <f>'T1'!G57</f>
        <v>0</v>
      </c>
      <c r="H56" s="178">
        <f>'T1'!H57</f>
        <v>0</v>
      </c>
      <c r="I56" s="83">
        <f>'T1'!I57</f>
        <v>1085000</v>
      </c>
      <c r="J56" s="160">
        <f>'T1'!J57</f>
        <v>0</v>
      </c>
      <c r="K56" s="321" t="str">
        <f>'T1'!K57</f>
        <v>odb. 64</v>
      </c>
    </row>
    <row r="57" spans="2:11" ht="12.75">
      <c r="B57" s="151" t="str">
        <f>'T1'!B58</f>
        <v>Komenského škola ve Vídni</v>
      </c>
      <c r="C57" s="177">
        <f t="shared" si="13"/>
        <v>300000</v>
      </c>
      <c r="D57" s="178">
        <f t="shared" si="14"/>
        <v>0</v>
      </c>
      <c r="E57" s="178">
        <f>'T1'!E58</f>
        <v>0</v>
      </c>
      <c r="F57" s="178">
        <f>'T1'!F58</f>
        <v>0</v>
      </c>
      <c r="G57" s="178">
        <f>'T1'!G58</f>
        <v>0</v>
      </c>
      <c r="H57" s="178">
        <f>'T1'!H58</f>
        <v>0</v>
      </c>
      <c r="I57" s="83">
        <f>'T1'!I58</f>
        <v>300000</v>
      </c>
      <c r="J57" s="160">
        <f>'T1'!J58</f>
        <v>0</v>
      </c>
      <c r="K57" s="321" t="str">
        <f>'T1'!K58</f>
        <v>odb. 64</v>
      </c>
    </row>
    <row r="58" spans="2:11" ht="12.75">
      <c r="B58" s="151" t="str">
        <f>'T1'!B59</f>
        <v>Stipendia občanů ČR v zahraničí</v>
      </c>
      <c r="C58" s="177">
        <f t="shared" si="13"/>
        <v>3693000</v>
      </c>
      <c r="D58" s="178">
        <f t="shared" si="14"/>
        <v>0</v>
      </c>
      <c r="E58" s="178">
        <f>'T1'!E59</f>
        <v>0</v>
      </c>
      <c r="F58" s="178">
        <f>'T1'!F59</f>
        <v>0</v>
      </c>
      <c r="G58" s="178">
        <f>'T1'!G59</f>
        <v>0</v>
      </c>
      <c r="H58" s="178">
        <f>'T1'!H59</f>
        <v>0</v>
      </c>
      <c r="I58" s="83">
        <f>'T1'!I59</f>
        <v>3693000</v>
      </c>
      <c r="J58" s="160">
        <f>'T1'!J59</f>
        <v>0</v>
      </c>
      <c r="K58" s="321" t="str">
        <f>'T1'!K59</f>
        <v>odb. 64</v>
      </c>
    </row>
    <row r="59" spans="2:11" ht="12.75">
      <c r="B59" s="151" t="str">
        <f>'T1'!B60</f>
        <v>Přijetí expertů</v>
      </c>
      <c r="C59" s="177">
        <f t="shared" si="13"/>
        <v>1126000</v>
      </c>
      <c r="D59" s="178">
        <f t="shared" si="14"/>
        <v>0</v>
      </c>
      <c r="E59" s="178">
        <f>'T1'!E60</f>
        <v>0</v>
      </c>
      <c r="F59" s="178">
        <f>'T1'!F60</f>
        <v>0</v>
      </c>
      <c r="G59" s="178">
        <f>'T1'!G60</f>
        <v>0</v>
      </c>
      <c r="H59" s="178">
        <f>'T1'!H60</f>
        <v>0</v>
      </c>
      <c r="I59" s="83">
        <f>'T1'!I60</f>
        <v>1126000</v>
      </c>
      <c r="J59" s="160">
        <f>'T1'!J60</f>
        <v>0</v>
      </c>
      <c r="K59" s="321" t="str">
        <f>'T1'!K60</f>
        <v>odb. 64</v>
      </c>
    </row>
    <row r="60" spans="2:11" ht="12.75">
      <c r="B60" s="151" t="str">
        <f>'T1'!B61</f>
        <v>Projekt Dijon, Nimes - úhrada stravování a ubytování českých žáků </v>
      </c>
      <c r="C60" s="177">
        <f t="shared" si="13"/>
        <v>235000</v>
      </c>
      <c r="D60" s="178">
        <f t="shared" si="14"/>
        <v>0</v>
      </c>
      <c r="E60" s="178">
        <f>'T1'!E61</f>
        <v>0</v>
      </c>
      <c r="F60" s="178">
        <f>'T1'!F61</f>
        <v>0</v>
      </c>
      <c r="G60" s="178">
        <f>'T1'!G61</f>
        <v>0</v>
      </c>
      <c r="H60" s="178">
        <f>'T1'!H61</f>
        <v>0</v>
      </c>
      <c r="I60" s="83">
        <f>'T1'!I61</f>
        <v>235000</v>
      </c>
      <c r="J60" s="160">
        <f>'T1'!J61</f>
        <v>0</v>
      </c>
      <c r="K60" s="321" t="str">
        <f>'T1'!K61</f>
        <v>odb. 64</v>
      </c>
    </row>
    <row r="61" spans="2:11" ht="12.75">
      <c r="B61" s="151" t="str">
        <f>'T1'!B62</f>
        <v>Projekt Pirna</v>
      </c>
      <c r="C61" s="177">
        <f t="shared" si="13"/>
        <v>3214000</v>
      </c>
      <c r="D61" s="178">
        <f t="shared" si="14"/>
        <v>0</v>
      </c>
      <c r="E61" s="178">
        <f>'T1'!E62</f>
        <v>0</v>
      </c>
      <c r="F61" s="178">
        <f>'T1'!F62</f>
        <v>0</v>
      </c>
      <c r="G61" s="178">
        <f>'T1'!G62</f>
        <v>0</v>
      </c>
      <c r="H61" s="178">
        <f>'T1'!H62</f>
        <v>0</v>
      </c>
      <c r="I61" s="83">
        <f>'T1'!I62</f>
        <v>3214000</v>
      </c>
      <c r="J61" s="160">
        <f>'T1'!J62</f>
        <v>0</v>
      </c>
      <c r="K61" s="321" t="str">
        <f>'T1'!K62</f>
        <v>odb. 64</v>
      </c>
    </row>
    <row r="62" spans="2:11" ht="13.5" thickBot="1">
      <c r="B62" s="326" t="str">
        <f>'T1'!B63</f>
        <v>Mezinárodní aktivity celkem</v>
      </c>
      <c r="C62" s="327">
        <f>SUM(C54:C61)</f>
        <v>20496827</v>
      </c>
      <c r="D62" s="207">
        <f aca="true" t="shared" si="16" ref="D62:J62">SUM(D54:D61)</f>
        <v>475000</v>
      </c>
      <c r="E62" s="207">
        <f t="shared" si="16"/>
        <v>134000</v>
      </c>
      <c r="F62" s="207">
        <f t="shared" si="16"/>
        <v>341000</v>
      </c>
      <c r="G62" s="207">
        <f t="shared" si="16"/>
        <v>46000</v>
      </c>
      <c r="H62" s="207">
        <f t="shared" si="16"/>
        <v>1670</v>
      </c>
      <c r="I62" s="207">
        <f t="shared" si="16"/>
        <v>19974157</v>
      </c>
      <c r="J62" s="164">
        <f t="shared" si="16"/>
        <v>0</v>
      </c>
      <c r="K62" s="663"/>
    </row>
    <row r="63" spans="2:11" ht="12.75">
      <c r="B63" s="151"/>
      <c r="C63" s="177"/>
      <c r="D63" s="178"/>
      <c r="E63" s="178"/>
      <c r="F63" s="178"/>
      <c r="G63" s="178"/>
      <c r="H63" s="178"/>
      <c r="I63" s="83"/>
      <c r="J63" s="160"/>
      <c r="K63" s="321"/>
    </row>
    <row r="64" spans="2:11" ht="12.75">
      <c r="B64" s="610" t="str">
        <f>'T1'!B65</f>
        <v>Projekty </v>
      </c>
      <c r="C64" s="177"/>
      <c r="D64" s="178"/>
      <c r="E64" s="178"/>
      <c r="F64" s="178"/>
      <c r="G64" s="178"/>
      <c r="H64" s="178"/>
      <c r="I64" s="83"/>
      <c r="J64" s="160"/>
      <c r="K64" s="321"/>
    </row>
    <row r="65" spans="2:11" ht="12.75">
      <c r="B65" s="151" t="str">
        <f>'T1'!B66</f>
        <v>DZS</v>
      </c>
      <c r="C65" s="177">
        <f t="shared" si="13"/>
        <v>2433000</v>
      </c>
      <c r="D65" s="178">
        <f t="shared" si="14"/>
        <v>378448</v>
      </c>
      <c r="E65" s="178">
        <f>'T1'!E66</f>
        <v>128448</v>
      </c>
      <c r="F65" s="178">
        <f>'T1'!F66</f>
        <v>250000</v>
      </c>
      <c r="G65" s="178">
        <f>'T1'!G66</f>
        <v>128672</v>
      </c>
      <c r="H65" s="178">
        <f>'T1'!H66</f>
        <v>1927</v>
      </c>
      <c r="I65" s="83">
        <f>'T1'!I66</f>
        <v>1923953</v>
      </c>
      <c r="J65" s="160">
        <f>'T1'!J66</f>
        <v>0.67</v>
      </c>
      <c r="K65" s="321"/>
    </row>
    <row r="66" spans="2:11" ht="12.75">
      <c r="B66" s="151" t="str">
        <f>'T1'!B67</f>
        <v>NPMKK</v>
      </c>
      <c r="C66" s="177">
        <f t="shared" si="13"/>
        <v>1424000</v>
      </c>
      <c r="D66" s="178">
        <f t="shared" si="14"/>
        <v>848000</v>
      </c>
      <c r="E66" s="178">
        <f>'T1'!E67</f>
        <v>492000</v>
      </c>
      <c r="F66" s="178">
        <f>'T1'!F67</f>
        <v>356000</v>
      </c>
      <c r="G66" s="178">
        <f>'T1'!G67</f>
        <v>188000</v>
      </c>
      <c r="H66" s="178">
        <f>'T1'!H67</f>
        <v>7380</v>
      </c>
      <c r="I66" s="83">
        <f>'T1'!I67</f>
        <v>380620</v>
      </c>
      <c r="J66" s="160">
        <f>'T1'!J67</f>
        <v>1.8</v>
      </c>
      <c r="K66" s="321"/>
    </row>
    <row r="67" spans="2:12" ht="12.75">
      <c r="B67" s="151" t="str">
        <f>'T1'!B68</f>
        <v>NÚV </v>
      </c>
      <c r="C67" s="177">
        <f t="shared" si="13"/>
        <v>5391749</v>
      </c>
      <c r="D67" s="178">
        <f t="shared" si="14"/>
        <v>3158000</v>
      </c>
      <c r="E67" s="178">
        <f>'T1'!E68</f>
        <v>0</v>
      </c>
      <c r="F67" s="178">
        <f>'T1'!F68</f>
        <v>3158000</v>
      </c>
      <c r="G67" s="178">
        <f>'T1'!G68</f>
        <v>0</v>
      </c>
      <c r="H67" s="178">
        <f>'T1'!H68</f>
        <v>0</v>
      </c>
      <c r="I67" s="83">
        <f>'T1'!I68</f>
        <v>2233749</v>
      </c>
      <c r="J67" s="160">
        <f>'T1'!J68</f>
        <v>0</v>
      </c>
      <c r="K67" s="321"/>
      <c r="L67" s="84"/>
    </row>
    <row r="68" spans="2:12" ht="12.75">
      <c r="B68" s="151" t="str">
        <f>'T1'!B69</f>
        <v>NIDV</v>
      </c>
      <c r="C68" s="177">
        <f t="shared" si="13"/>
        <v>7336950</v>
      </c>
      <c r="D68" s="178">
        <f t="shared" si="14"/>
        <v>4278500</v>
      </c>
      <c r="E68" s="178">
        <f>'T1'!E69</f>
        <v>0</v>
      </c>
      <c r="F68" s="178">
        <f>'T1'!F69</f>
        <v>4278500</v>
      </c>
      <c r="G68" s="178">
        <f>'T1'!G69</f>
        <v>1158000</v>
      </c>
      <c r="H68" s="178">
        <f>'T1'!H69</f>
        <v>0</v>
      </c>
      <c r="I68" s="83">
        <f>'T1'!I69</f>
        <v>1900450</v>
      </c>
      <c r="J68" s="160">
        <f>'T1'!J69</f>
        <v>0</v>
      </c>
      <c r="K68" s="321"/>
      <c r="L68" s="84"/>
    </row>
    <row r="69" spans="2:11" ht="12.75">
      <c r="B69" s="151" t="str">
        <f>'T1'!B70</f>
        <v>PCČT</v>
      </c>
      <c r="C69" s="177">
        <f t="shared" si="13"/>
        <v>150000</v>
      </c>
      <c r="D69" s="178">
        <f t="shared" si="14"/>
        <v>75000</v>
      </c>
      <c r="E69" s="178">
        <f>'T1'!E70</f>
        <v>0</v>
      </c>
      <c r="F69" s="178">
        <f>'T1'!F70</f>
        <v>75000</v>
      </c>
      <c r="G69" s="178">
        <f>'T1'!G70</f>
        <v>0</v>
      </c>
      <c r="H69" s="178">
        <f>'T1'!H70</f>
        <v>0</v>
      </c>
      <c r="I69" s="83">
        <f>'T1'!I70</f>
        <v>75000</v>
      </c>
      <c r="J69" s="160">
        <f>'T1'!J70</f>
        <v>0</v>
      </c>
      <c r="K69" s="321"/>
    </row>
    <row r="70" spans="2:11" ht="12.75">
      <c r="B70" s="151" t="str">
        <f>'T1'!B71</f>
        <v>NTK</v>
      </c>
      <c r="C70" s="177">
        <f t="shared" si="13"/>
        <v>43010000</v>
      </c>
      <c r="D70" s="178">
        <f t="shared" si="14"/>
        <v>0</v>
      </c>
      <c r="E70" s="178">
        <f>'T1'!E71</f>
        <v>0</v>
      </c>
      <c r="F70" s="178">
        <f>'T1'!F71</f>
        <v>0</v>
      </c>
      <c r="G70" s="178">
        <f>'T1'!G71</f>
        <v>0</v>
      </c>
      <c r="H70" s="178">
        <f>'T1'!H71</f>
        <v>0</v>
      </c>
      <c r="I70" s="83">
        <f>'T1'!I71</f>
        <v>43010000</v>
      </c>
      <c r="J70" s="160">
        <f>'T1'!J71</f>
        <v>0</v>
      </c>
      <c r="K70" s="321"/>
    </row>
    <row r="71" spans="1:12" ht="13.5" thickBot="1">
      <c r="A71" s="477"/>
      <c r="B71" s="326" t="str">
        <f>'T1'!B72</f>
        <v>Projekty resortní celkem</v>
      </c>
      <c r="C71" s="327">
        <f>SUM(C65:C70)</f>
        <v>59745699</v>
      </c>
      <c r="D71" s="207">
        <f aca="true" t="shared" si="17" ref="D71:J71">SUM(D65:D70)</f>
        <v>8737948</v>
      </c>
      <c r="E71" s="207">
        <f t="shared" si="17"/>
        <v>620448</v>
      </c>
      <c r="F71" s="207">
        <f t="shared" si="17"/>
        <v>8117500</v>
      </c>
      <c r="G71" s="207">
        <f t="shared" si="17"/>
        <v>1474672</v>
      </c>
      <c r="H71" s="207">
        <f t="shared" si="17"/>
        <v>9307</v>
      </c>
      <c r="I71" s="207">
        <f t="shared" si="17"/>
        <v>49523772</v>
      </c>
      <c r="J71" s="164">
        <f t="shared" si="17"/>
        <v>2.47</v>
      </c>
      <c r="K71" s="663"/>
      <c r="L71" s="80"/>
    </row>
    <row r="72" spans="2:11" ht="14.25" customHeight="1" thickBot="1">
      <c r="B72" s="664" t="str">
        <f>'T1'!B73</f>
        <v>Projekty udržitelnosti</v>
      </c>
      <c r="C72" s="665">
        <f t="shared" si="13"/>
        <v>14410318</v>
      </c>
      <c r="D72" s="666">
        <f t="shared" si="14"/>
        <v>9700535</v>
      </c>
      <c r="E72" s="410">
        <v>5887235</v>
      </c>
      <c r="F72" s="410">
        <v>3813300</v>
      </c>
      <c r="G72" s="406">
        <v>2326960</v>
      </c>
      <c r="H72" s="409">
        <f>88309-31359</f>
        <v>56950</v>
      </c>
      <c r="I72" s="409">
        <f>2294514+31359</f>
        <v>2325873</v>
      </c>
      <c r="J72" s="407">
        <v>16.11</v>
      </c>
      <c r="K72" s="667" t="str">
        <f>'T1'!K73</f>
        <v>NÚV</v>
      </c>
    </row>
    <row r="73" spans="2:11" ht="12.75">
      <c r="B73" s="151"/>
      <c r="C73" s="177"/>
      <c r="D73" s="178"/>
      <c r="E73" s="178"/>
      <c r="F73" s="178"/>
      <c r="G73" s="178"/>
      <c r="H73" s="178"/>
      <c r="I73" s="83"/>
      <c r="J73" s="160"/>
      <c r="K73" s="321"/>
    </row>
    <row r="74" spans="1:11" ht="12.75">
      <c r="A74" s="15"/>
      <c r="B74" s="610" t="str">
        <f>'T1'!B75</f>
        <v>Prostředky u příkazce svodných rozp.operací</v>
      </c>
      <c r="C74" s="177"/>
      <c r="D74" s="178"/>
      <c r="E74" s="178"/>
      <c r="F74" s="178"/>
      <c r="G74" s="178"/>
      <c r="H74" s="178"/>
      <c r="I74" s="83"/>
      <c r="J74" s="160"/>
      <c r="K74" s="321"/>
    </row>
    <row r="75" spans="1:11" ht="12.75">
      <c r="A75" s="15"/>
      <c r="B75" s="151" t="str">
        <f>'T1'!B76</f>
        <v>Kurzové rozdíly</v>
      </c>
      <c r="C75" s="177">
        <f t="shared" si="13"/>
        <v>2000000</v>
      </c>
      <c r="D75" s="178">
        <f t="shared" si="14"/>
        <v>0</v>
      </c>
      <c r="E75" s="178">
        <f>'T1'!E76</f>
        <v>0</v>
      </c>
      <c r="F75" s="178">
        <f>'T1'!F76</f>
        <v>0</v>
      </c>
      <c r="G75" s="178">
        <f>'T1'!G76</f>
        <v>0</v>
      </c>
      <c r="H75" s="178">
        <f>'T1'!H76</f>
        <v>0</v>
      </c>
      <c r="I75" s="83">
        <f>'T1'!I76</f>
        <v>2000000</v>
      </c>
      <c r="J75" s="160">
        <f>'T1'!J76</f>
        <v>0</v>
      </c>
      <c r="K75" s="321"/>
    </row>
    <row r="76" spans="2:11" ht="12.75">
      <c r="B76" s="151" t="str">
        <f>'T1'!B77</f>
        <v>Konsorciální poplatky</v>
      </c>
      <c r="C76" s="177">
        <f t="shared" si="13"/>
        <v>4000000</v>
      </c>
      <c r="D76" s="178">
        <f t="shared" si="14"/>
        <v>0</v>
      </c>
      <c r="E76" s="178">
        <f>'T1'!E77</f>
        <v>0</v>
      </c>
      <c r="F76" s="178">
        <f>'T1'!F77</f>
        <v>0</v>
      </c>
      <c r="G76" s="178">
        <f>'T1'!G77</f>
        <v>0</v>
      </c>
      <c r="H76" s="178">
        <f>'T1'!H77</f>
        <v>0</v>
      </c>
      <c r="I76" s="83">
        <f>'T1'!I77</f>
        <v>4000000</v>
      </c>
      <c r="J76" s="160">
        <f>'T1'!J77</f>
        <v>0</v>
      </c>
      <c r="K76" s="321"/>
    </row>
    <row r="77" spans="2:11" ht="25.5">
      <c r="B77" s="151" t="str">
        <f>'T1'!B81</f>
        <v>DZS - navýšení o zam. sek. VI</v>
      </c>
      <c r="C77" s="177">
        <f t="shared" si="13"/>
        <v>794640.1542857143</v>
      </c>
      <c r="D77" s="178">
        <f t="shared" si="14"/>
        <v>586450.1542857143</v>
      </c>
      <c r="E77" s="669">
        <v>586450.1542857143</v>
      </c>
      <c r="F77" s="178"/>
      <c r="G77" s="178">
        <f>ROUND((E77*0.34+F77*0.34),0)</f>
        <v>199393</v>
      </c>
      <c r="H77" s="178"/>
      <c r="I77" s="83">
        <v>8797</v>
      </c>
      <c r="J77" s="160">
        <v>2</v>
      </c>
      <c r="K77" s="715" t="s">
        <v>205</v>
      </c>
    </row>
    <row r="78" spans="2:11" ht="25.5">
      <c r="B78" s="151" t="str">
        <f>'T1'!B82</f>
        <v>NPMKK - provozní prostředky (odpisy)</v>
      </c>
      <c r="C78" s="177">
        <f t="shared" si="13"/>
        <v>686502</v>
      </c>
      <c r="D78" s="178">
        <f t="shared" si="14"/>
        <v>0</v>
      </c>
      <c r="E78" s="178">
        <f>'T1'!E82</f>
        <v>0</v>
      </c>
      <c r="F78" s="178">
        <f>'T1'!F82</f>
        <v>0</v>
      </c>
      <c r="G78" s="178">
        <f>'T1'!G82</f>
        <v>0</v>
      </c>
      <c r="H78" s="178">
        <f>'T1'!H82</f>
        <v>0</v>
      </c>
      <c r="I78" s="491">
        <f>549502+137000</f>
        <v>686502</v>
      </c>
      <c r="J78" s="160">
        <f>'T1'!J82</f>
        <v>0</v>
      </c>
      <c r="K78" s="715" t="s">
        <v>265</v>
      </c>
    </row>
    <row r="79" spans="2:11" ht="12.75">
      <c r="B79" s="151" t="str">
        <f>'T1'!B83</f>
        <v>Implementace Systému péče a podpory nadání v ČR (SPN) - PERUN</v>
      </c>
      <c r="C79" s="177">
        <f t="shared" si="13"/>
        <v>0</v>
      </c>
      <c r="D79" s="178">
        <f t="shared" si="14"/>
        <v>0</v>
      </c>
      <c r="E79" s="178">
        <f>'T1'!E83</f>
        <v>0</v>
      </c>
      <c r="F79" s="178">
        <f>'T1'!F83</f>
        <v>0</v>
      </c>
      <c r="G79" s="178">
        <f>'T1'!G83</f>
        <v>0</v>
      </c>
      <c r="H79" s="178">
        <f>'T1'!H83</f>
        <v>0</v>
      </c>
      <c r="I79" s="83">
        <f>'T1'!I83</f>
        <v>0</v>
      </c>
      <c r="J79" s="160">
        <v>2</v>
      </c>
      <c r="K79" s="716"/>
    </row>
    <row r="80" spans="2:11" ht="12.75">
      <c r="B80" s="151" t="str">
        <f>'T1'!B84</f>
        <v>Mimořádné dotace</v>
      </c>
      <c r="C80" s="177">
        <f t="shared" si="13"/>
        <v>500000</v>
      </c>
      <c r="D80" s="178">
        <f t="shared" si="14"/>
        <v>0</v>
      </c>
      <c r="E80" s="178">
        <f>'T1'!E84</f>
        <v>0</v>
      </c>
      <c r="F80" s="178">
        <f>'T1'!F84</f>
        <v>0</v>
      </c>
      <c r="G80" s="178">
        <f>'T1'!G84</f>
        <v>0</v>
      </c>
      <c r="H80" s="178">
        <f>'T1'!H84</f>
        <v>0</v>
      </c>
      <c r="I80" s="83">
        <f>'T1'!I84</f>
        <v>500000</v>
      </c>
      <c r="J80" s="160">
        <f>'T1'!J84</f>
        <v>0</v>
      </c>
      <c r="K80" s="713" t="s">
        <v>154</v>
      </c>
    </row>
    <row r="81" spans="2:11" ht="25.5">
      <c r="B81" s="151" t="str">
        <f>'T1'!B85</f>
        <v>Eurostudent - jen poplatek</v>
      </c>
      <c r="C81" s="177">
        <f t="shared" si="13"/>
        <v>1013000</v>
      </c>
      <c r="D81" s="178">
        <f t="shared" si="14"/>
        <v>0</v>
      </c>
      <c r="E81" s="178">
        <f>'T1'!E85</f>
        <v>0</v>
      </c>
      <c r="F81" s="178">
        <f>'T1'!F85</f>
        <v>0</v>
      </c>
      <c r="G81" s="178">
        <f>'T1'!G85</f>
        <v>0</v>
      </c>
      <c r="H81" s="178">
        <f>'T1'!H85</f>
        <v>0</v>
      </c>
      <c r="I81" s="83">
        <f>'T1'!I85</f>
        <v>1013000</v>
      </c>
      <c r="J81" s="160">
        <f>'T1'!J85</f>
        <v>0</v>
      </c>
      <c r="K81" s="700" t="s">
        <v>209</v>
      </c>
    </row>
    <row r="82" spans="2:11" ht="12.75">
      <c r="B82" s="151" t="str">
        <f>'T1'!B86</f>
        <v>NIQES - ČŠI</v>
      </c>
      <c r="C82" s="177">
        <f>SUM(D82+G82+H82+I82)</f>
        <v>3300000</v>
      </c>
      <c r="D82" s="178">
        <f aca="true" t="shared" si="18" ref="D82:D87">SUM(E82+F82)</f>
        <v>0</v>
      </c>
      <c r="E82" s="178">
        <f>'T1'!E86</f>
        <v>0</v>
      </c>
      <c r="F82" s="178">
        <f>'T1'!F86</f>
        <v>0</v>
      </c>
      <c r="G82" s="178">
        <f>'T1'!G86</f>
        <v>0</v>
      </c>
      <c r="H82" s="178">
        <f>'T1'!H86</f>
        <v>0</v>
      </c>
      <c r="I82" s="83">
        <f>'T1'!I86</f>
        <v>3300000</v>
      </c>
      <c r="J82" s="160">
        <f>'T1'!J86</f>
        <v>0</v>
      </c>
      <c r="K82" s="701"/>
    </row>
    <row r="83" spans="2:11" ht="38.25">
      <c r="B83" s="151" t="str">
        <f>'T1'!B87</f>
        <v>Neuznatelné výdaje IPn - odvod a penále</v>
      </c>
      <c r="C83" s="177">
        <f>SUM(D83+G83+H83+I83)</f>
        <v>2000000</v>
      </c>
      <c r="D83" s="178">
        <f t="shared" si="18"/>
        <v>0</v>
      </c>
      <c r="E83" s="178">
        <f>'T1'!E87</f>
        <v>0</v>
      </c>
      <c r="F83" s="178">
        <f>'T1'!F87</f>
        <v>0</v>
      </c>
      <c r="G83" s="178">
        <f>'T1'!G87</f>
        <v>0</v>
      </c>
      <c r="H83" s="178">
        <f>'T1'!H87</f>
        <v>0</v>
      </c>
      <c r="I83" s="83">
        <f>'T1'!I87</f>
        <v>2000000</v>
      </c>
      <c r="J83" s="160">
        <f>'T1'!J87</f>
        <v>0</v>
      </c>
      <c r="K83" s="717" t="s">
        <v>210</v>
      </c>
    </row>
    <row r="84" spans="2:11" ht="12.75">
      <c r="B84" s="151" t="str">
        <f>'T1'!B88</f>
        <v>Poplatky - soudní rozhodnutí</v>
      </c>
      <c r="C84" s="177">
        <f>SUM(D84+G84+H84+I84)</f>
        <v>400000</v>
      </c>
      <c r="D84" s="178">
        <f t="shared" si="18"/>
        <v>0</v>
      </c>
      <c r="E84" s="178">
        <f>'T1'!E88</f>
        <v>0</v>
      </c>
      <c r="F84" s="178">
        <f>'T1'!F88</f>
        <v>0</v>
      </c>
      <c r="G84" s="178">
        <f>'T1'!G88</f>
        <v>0</v>
      </c>
      <c r="H84" s="178">
        <f>'T1'!H88</f>
        <v>0</v>
      </c>
      <c r="I84" s="83">
        <f>'T1'!I88</f>
        <v>400000</v>
      </c>
      <c r="J84" s="160">
        <f>'T1'!J88</f>
        <v>0</v>
      </c>
      <c r="K84" s="716" t="s">
        <v>240</v>
      </c>
    </row>
    <row r="85" spans="1:12" ht="12.75">
      <c r="A85" s="477"/>
      <c r="B85" s="631" t="s">
        <v>113</v>
      </c>
      <c r="C85" s="633">
        <f>D85+G85+H85+I85</f>
        <v>784399</v>
      </c>
      <c r="D85" s="634">
        <f t="shared" si="18"/>
        <v>0</v>
      </c>
      <c r="E85" s="508"/>
      <c r="F85" s="508"/>
      <c r="G85" s="635">
        <f>ROUND((E85*0.34)+(F85*0.34),0)</f>
        <v>0</v>
      </c>
      <c r="H85" s="636">
        <f>ROUND((E85*0.015),0)</f>
        <v>0</v>
      </c>
      <c r="I85" s="634">
        <v>784399</v>
      </c>
      <c r="J85" s="638"/>
      <c r="K85" s="716"/>
      <c r="L85" s="80"/>
    </row>
    <row r="86" spans="1:12" ht="12.75">
      <c r="A86" s="477"/>
      <c r="B86" s="632" t="s">
        <v>135</v>
      </c>
      <c r="C86" s="633">
        <f>D86+G86+H86+I86</f>
        <v>29961824</v>
      </c>
      <c r="D86" s="634">
        <f t="shared" si="18"/>
        <v>8160999</v>
      </c>
      <c r="E86" s="508">
        <v>4499301</v>
      </c>
      <c r="F86" s="508">
        <v>3661698</v>
      </c>
      <c r="G86" s="635">
        <f>ROUND((E86*0.34)+(F86*0.34),0)-1535316</f>
        <v>1239424</v>
      </c>
      <c r="H86" s="636">
        <f>ROUND((E86*0.015),0)-67490</f>
        <v>0</v>
      </c>
      <c r="I86" s="508">
        <v>20561401</v>
      </c>
      <c r="J86" s="738">
        <f>7.4+2.1</f>
        <v>9.5</v>
      </c>
      <c r="K86" s="709"/>
      <c r="L86" s="80"/>
    </row>
    <row r="87" spans="1:12" ht="12.75">
      <c r="A87" s="477"/>
      <c r="B87" s="631" t="s">
        <v>74</v>
      </c>
      <c r="C87" s="633">
        <f>D87+G87+H87+I87</f>
        <v>20000000</v>
      </c>
      <c r="D87" s="634">
        <f t="shared" si="18"/>
        <v>0</v>
      </c>
      <c r="E87" s="508"/>
      <c r="F87" s="508"/>
      <c r="G87" s="635">
        <f>ROUND((E87*0.34)+(F87*0.34),0)</f>
        <v>0</v>
      </c>
      <c r="H87" s="636">
        <f>ROUND((E87*0.015),0)</f>
        <v>0</v>
      </c>
      <c r="I87" s="508">
        <v>20000000</v>
      </c>
      <c r="J87" s="637"/>
      <c r="K87" s="709"/>
      <c r="L87" s="80"/>
    </row>
    <row r="88" spans="1:12" ht="21" customHeight="1" thickBot="1">
      <c r="A88" s="467"/>
      <c r="B88" s="536" t="s">
        <v>52</v>
      </c>
      <c r="C88" s="537">
        <f aca="true" t="shared" si="19" ref="C88:J88">SUM(C74:C87)</f>
        <v>65440365.154285714</v>
      </c>
      <c r="D88" s="383">
        <f t="shared" si="19"/>
        <v>8747449.154285714</v>
      </c>
      <c r="E88" s="383">
        <f t="shared" si="19"/>
        <v>5085751.154285714</v>
      </c>
      <c r="F88" s="383">
        <f t="shared" si="19"/>
        <v>3661698</v>
      </c>
      <c r="G88" s="383">
        <f t="shared" si="19"/>
        <v>1438817</v>
      </c>
      <c r="H88" s="383">
        <f t="shared" si="19"/>
        <v>0</v>
      </c>
      <c r="I88" s="383">
        <f t="shared" si="19"/>
        <v>55254099</v>
      </c>
      <c r="J88" s="538">
        <f t="shared" si="19"/>
        <v>13.5</v>
      </c>
      <c r="K88" s="718"/>
      <c r="L88" s="80"/>
    </row>
    <row r="89" spans="1:12" ht="17.25" customHeight="1" thickBot="1" thickTop="1">
      <c r="A89" s="467"/>
      <c r="B89" s="539" t="s">
        <v>73</v>
      </c>
      <c r="C89" s="540">
        <f aca="true" t="shared" si="20" ref="C89:J89">SUM(C19+C29+C45+C51+C62+C71+C72+C88)</f>
        <v>686484547.1542857</v>
      </c>
      <c r="D89" s="541">
        <f t="shared" si="20"/>
        <v>248626768.15428573</v>
      </c>
      <c r="E89" s="541">
        <f t="shared" si="20"/>
        <v>176232735.15428573</v>
      </c>
      <c r="F89" s="541">
        <f t="shared" si="20"/>
        <v>72394033</v>
      </c>
      <c r="G89" s="542">
        <f t="shared" si="20"/>
        <v>77019654</v>
      </c>
      <c r="H89" s="542">
        <f t="shared" si="20"/>
        <v>2535507</v>
      </c>
      <c r="I89" s="542">
        <f t="shared" si="20"/>
        <v>358302618</v>
      </c>
      <c r="J89" s="543">
        <f t="shared" si="20"/>
        <v>562</v>
      </c>
      <c r="K89" s="719"/>
      <c r="L89" s="80"/>
    </row>
    <row r="90" spans="1:12" ht="28.5" customHeight="1" thickBot="1">
      <c r="A90" s="477"/>
      <c r="B90" s="545" t="s">
        <v>206</v>
      </c>
      <c r="C90" s="546">
        <f>D90+G90+H90+I90</f>
        <v>686484547</v>
      </c>
      <c r="D90" s="547">
        <f>E90+F90</f>
        <v>248626768</v>
      </c>
      <c r="E90" s="548">
        <f aca="true" t="shared" si="21" ref="E90:J90">E93-E94</f>
        <v>176232735</v>
      </c>
      <c r="F90" s="548">
        <f t="shared" si="21"/>
        <v>72394033</v>
      </c>
      <c r="G90" s="548">
        <f t="shared" si="21"/>
        <v>77019654</v>
      </c>
      <c r="H90" s="548">
        <f t="shared" si="21"/>
        <v>2535507</v>
      </c>
      <c r="I90" s="548">
        <f t="shared" si="21"/>
        <v>358302618</v>
      </c>
      <c r="J90" s="549">
        <f t="shared" si="21"/>
        <v>562</v>
      </c>
      <c r="K90" s="720"/>
      <c r="L90" s="80"/>
    </row>
    <row r="91" spans="1:12" ht="26.25" thickBot="1">
      <c r="A91" s="550"/>
      <c r="B91" s="551" t="s">
        <v>33</v>
      </c>
      <c r="C91" s="552">
        <f>SUM(C90-C89)</f>
        <v>-0.15428566932678223</v>
      </c>
      <c r="D91" s="410">
        <f>SUM(D90-D89)</f>
        <v>-0.154285728931427</v>
      </c>
      <c r="E91" s="410">
        <f aca="true" t="shared" si="22" ref="E91:J91">SUM(E90-E89)</f>
        <v>-0.154285728931427</v>
      </c>
      <c r="F91" s="553">
        <f t="shared" si="22"/>
        <v>0</v>
      </c>
      <c r="G91" s="410">
        <f t="shared" si="22"/>
        <v>0</v>
      </c>
      <c r="H91" s="410">
        <f t="shared" si="22"/>
        <v>0</v>
      </c>
      <c r="I91" s="409">
        <f t="shared" si="22"/>
        <v>0</v>
      </c>
      <c r="J91" s="554">
        <f t="shared" si="22"/>
        <v>0</v>
      </c>
      <c r="K91" s="719"/>
      <c r="L91" s="80"/>
    </row>
    <row r="92" spans="1:12" ht="12.75">
      <c r="A92" s="550"/>
      <c r="B92" s="623"/>
      <c r="C92" s="624"/>
      <c r="D92" s="624"/>
      <c r="E92" s="624"/>
      <c r="F92" s="624"/>
      <c r="G92" s="624"/>
      <c r="H92" s="624"/>
      <c r="I92" s="519"/>
      <c r="J92" s="625"/>
      <c r="K92" s="625"/>
      <c r="L92" s="80"/>
    </row>
    <row r="93" spans="1:12" ht="12.75">
      <c r="A93" s="477"/>
      <c r="B93" s="180" t="s">
        <v>118</v>
      </c>
      <c r="C93" s="389">
        <f>D93+G93+H93+I93</f>
        <v>733938547</v>
      </c>
      <c r="D93" s="389">
        <f>E93+F93</f>
        <v>257276768</v>
      </c>
      <c r="E93" s="389">
        <v>184882735</v>
      </c>
      <c r="F93" s="389">
        <v>72394033</v>
      </c>
      <c r="G93" s="389">
        <v>79960654</v>
      </c>
      <c r="H93" s="389">
        <v>2665257</v>
      </c>
      <c r="I93" s="389">
        <v>394035868</v>
      </c>
      <c r="J93" s="555">
        <v>608</v>
      </c>
      <c r="K93" s="80"/>
      <c r="L93" s="389"/>
    </row>
    <row r="94" spans="1:12" ht="12.75">
      <c r="A94" s="477"/>
      <c r="B94" s="180" t="s">
        <v>117</v>
      </c>
      <c r="C94" s="389">
        <f>D94+G94+H94+I94</f>
        <v>47454000</v>
      </c>
      <c r="D94" s="389">
        <f>E94+F94</f>
        <v>8650000</v>
      </c>
      <c r="E94" s="389">
        <v>8650000</v>
      </c>
      <c r="F94" s="389">
        <v>0</v>
      </c>
      <c r="G94" s="389">
        <v>2941000</v>
      </c>
      <c r="H94" s="389">
        <v>129750</v>
      </c>
      <c r="I94" s="389">
        <f>29376500+6400000-43250</f>
        <v>35733250</v>
      </c>
      <c r="J94" s="555">
        <v>46</v>
      </c>
      <c r="K94" s="80"/>
      <c r="L94" s="389"/>
    </row>
    <row r="95" spans="1:12" ht="12.75">
      <c r="A95" s="477"/>
      <c r="B95" s="180"/>
      <c r="C95" s="389"/>
      <c r="D95" s="389"/>
      <c r="E95" s="389"/>
      <c r="F95" s="389"/>
      <c r="G95" s="389"/>
      <c r="H95" s="389"/>
      <c r="I95" s="389"/>
      <c r="J95" s="555"/>
      <c r="K95" s="80"/>
      <c r="L95" s="389"/>
    </row>
    <row r="96" spans="1:12" ht="12.75">
      <c r="A96" s="477"/>
      <c r="B96" s="80"/>
      <c r="C96" s="389">
        <f>C75+C76+C77+C78+C80+C81+C82+C83+C84</f>
        <v>14694142.154285714</v>
      </c>
      <c r="D96" s="389"/>
      <c r="E96" s="389"/>
      <c r="F96" s="389"/>
      <c r="G96" s="389"/>
      <c r="H96" s="389"/>
      <c r="I96" s="389"/>
      <c r="J96" s="556"/>
      <c r="K96" s="80"/>
      <c r="L96" s="389"/>
    </row>
    <row r="97" spans="1:12" ht="15.75">
      <c r="A97" s="80"/>
      <c r="B97" s="557" t="s">
        <v>153</v>
      </c>
      <c r="C97" s="556"/>
      <c r="D97" s="556"/>
      <c r="E97" s="556"/>
      <c r="F97" s="556"/>
      <c r="G97" s="556"/>
      <c r="H97" s="556"/>
      <c r="I97" s="556"/>
      <c r="J97" s="80"/>
      <c r="K97" s="80"/>
      <c r="L97" s="389"/>
    </row>
    <row r="98" spans="1:12" ht="15">
      <c r="A98" s="477"/>
      <c r="B98" s="558" t="s">
        <v>136</v>
      </c>
      <c r="C98" s="524"/>
      <c r="D98" s="525"/>
      <c r="E98" s="525"/>
      <c r="F98" s="525"/>
      <c r="G98" s="525"/>
      <c r="H98" s="525"/>
      <c r="I98" s="487"/>
      <c r="J98" s="526"/>
      <c r="K98" s="704"/>
      <c r="L98" s="180"/>
    </row>
    <row r="99" spans="1:12" ht="12.75">
      <c r="A99" s="477"/>
      <c r="B99" s="559" t="s">
        <v>143</v>
      </c>
      <c r="C99" s="490">
        <f>SUM(D99+G99+H99+I99)</f>
        <v>163000</v>
      </c>
      <c r="D99" s="491">
        <f>SUM(E99+F99)</f>
        <v>0</v>
      </c>
      <c r="E99" s="491"/>
      <c r="F99" s="491"/>
      <c r="G99" s="491">
        <f>ROUND((E99*0.34+F99*0.34),0)</f>
        <v>0</v>
      </c>
      <c r="H99" s="491">
        <f>ROUND((E99*0.015),0)</f>
        <v>0</v>
      </c>
      <c r="I99" s="169">
        <v>163000</v>
      </c>
      <c r="J99" s="492"/>
      <c r="K99" s="721" t="s">
        <v>207</v>
      </c>
      <c r="L99" s="80"/>
    </row>
    <row r="100" spans="1:12" ht="25.5">
      <c r="A100" s="477"/>
      <c r="B100" s="559" t="s">
        <v>144</v>
      </c>
      <c r="C100" s="490">
        <f>SUM(D100+G100+H100+I100)</f>
        <v>700000</v>
      </c>
      <c r="D100" s="491">
        <f>SUM(E100+F100)</f>
        <v>0</v>
      </c>
      <c r="E100" s="491"/>
      <c r="F100" s="491"/>
      <c r="G100" s="491">
        <f>ROUND((E100*0.34+F100*0.34),0)</f>
        <v>0</v>
      </c>
      <c r="H100" s="491">
        <f>ROUND((E100*0.015),0)</f>
        <v>0</v>
      </c>
      <c r="I100" s="169">
        <v>700000</v>
      </c>
      <c r="J100" s="492"/>
      <c r="K100" s="721" t="s">
        <v>243</v>
      </c>
      <c r="L100" s="80"/>
    </row>
    <row r="101" spans="1:12" ht="25.5">
      <c r="A101" s="477"/>
      <c r="B101" s="559" t="s">
        <v>146</v>
      </c>
      <c r="C101" s="490">
        <f>SUM(D101+G101+H101+I101)</f>
        <v>987464</v>
      </c>
      <c r="D101" s="491">
        <f>SUM(E101+F101)</f>
        <v>416640</v>
      </c>
      <c r="E101" s="491">
        <v>416640</v>
      </c>
      <c r="F101" s="491"/>
      <c r="G101" s="491">
        <f>ROUND((E101*0.34+F101*0.34),0)</f>
        <v>141658</v>
      </c>
      <c r="H101" s="491">
        <f>ROUND((E101*0.015),0)</f>
        <v>6250</v>
      </c>
      <c r="I101" s="169">
        <v>422916</v>
      </c>
      <c r="J101" s="492">
        <v>1</v>
      </c>
      <c r="K101" s="721" t="s">
        <v>269</v>
      </c>
      <c r="L101" s="80"/>
    </row>
    <row r="102" spans="1:12" ht="13.5" thickBot="1">
      <c r="A102" s="477"/>
      <c r="B102" s="560" t="s">
        <v>141</v>
      </c>
      <c r="C102" s="561">
        <f aca="true" t="shared" si="23" ref="C102:J102">SUM(C99:C101)</f>
        <v>1850464</v>
      </c>
      <c r="D102" s="562">
        <f t="shared" si="23"/>
        <v>416640</v>
      </c>
      <c r="E102" s="562">
        <f t="shared" si="23"/>
        <v>416640</v>
      </c>
      <c r="F102" s="562">
        <f t="shared" si="23"/>
        <v>0</v>
      </c>
      <c r="G102" s="562">
        <f t="shared" si="23"/>
        <v>141658</v>
      </c>
      <c r="H102" s="562">
        <f t="shared" si="23"/>
        <v>6250</v>
      </c>
      <c r="I102" s="562">
        <f t="shared" si="23"/>
        <v>1285916</v>
      </c>
      <c r="J102" s="563">
        <f t="shared" si="23"/>
        <v>1</v>
      </c>
      <c r="K102" s="702"/>
      <c r="L102" s="80"/>
    </row>
    <row r="103" spans="1:12" ht="12.75">
      <c r="A103" s="477"/>
      <c r="B103" s="671" t="s">
        <v>72</v>
      </c>
      <c r="C103" s="524"/>
      <c r="D103" s="525"/>
      <c r="E103" s="525"/>
      <c r="F103" s="525"/>
      <c r="G103" s="525"/>
      <c r="H103" s="525"/>
      <c r="I103" s="487"/>
      <c r="J103" s="488"/>
      <c r="K103" s="704"/>
      <c r="L103" s="180"/>
    </row>
    <row r="104" spans="1:12" ht="12.75">
      <c r="A104" s="477"/>
      <c r="B104" s="565" t="s">
        <v>149</v>
      </c>
      <c r="C104" s="566">
        <f>SUM(D104+G104+H104+I104)</f>
        <v>3052701</v>
      </c>
      <c r="D104" s="567">
        <f>SUM(E104+F104)</f>
        <v>2094500</v>
      </c>
      <c r="E104" s="567">
        <v>1000000</v>
      </c>
      <c r="F104" s="567">
        <v>1094500</v>
      </c>
      <c r="G104" s="567">
        <v>373600</v>
      </c>
      <c r="H104" s="567">
        <v>10000</v>
      </c>
      <c r="I104" s="567">
        <v>574601</v>
      </c>
      <c r="J104" s="568">
        <v>3.8000000000000003</v>
      </c>
      <c r="K104" s="699"/>
      <c r="L104" s="80"/>
    </row>
    <row r="105" spans="1:12" ht="12.75">
      <c r="A105" s="477"/>
      <c r="B105" s="569" t="s">
        <v>211</v>
      </c>
      <c r="C105" s="490">
        <f>SUM(D105+G105+H105+I105)</f>
        <v>-936500</v>
      </c>
      <c r="D105" s="491">
        <f>SUM(E105+F105)</f>
        <v>-200000</v>
      </c>
      <c r="E105" s="491">
        <v>0</v>
      </c>
      <c r="F105" s="491">
        <v>-200000</v>
      </c>
      <c r="G105" s="491">
        <v>-8000</v>
      </c>
      <c r="H105" s="491">
        <v>0</v>
      </c>
      <c r="I105" s="169">
        <v>-728500</v>
      </c>
      <c r="J105" s="492">
        <v>0</v>
      </c>
      <c r="K105" s="699"/>
      <c r="L105" s="80"/>
    </row>
    <row r="106" spans="1:12" ht="12.75">
      <c r="A106" s="477"/>
      <c r="B106" s="358" t="s">
        <v>212</v>
      </c>
      <c r="C106" s="490">
        <f>SUM(D106+G106+H106+I106)</f>
        <v>2862201</v>
      </c>
      <c r="D106" s="491">
        <f>SUM(E106+F106)</f>
        <v>1586500</v>
      </c>
      <c r="E106" s="491">
        <v>1000000</v>
      </c>
      <c r="F106" s="491">
        <v>586500</v>
      </c>
      <c r="G106" s="491">
        <v>340800</v>
      </c>
      <c r="H106" s="491">
        <v>10000</v>
      </c>
      <c r="I106" s="169">
        <v>924901</v>
      </c>
      <c r="J106" s="492">
        <v>3.8000000000000003</v>
      </c>
      <c r="K106" s="699"/>
      <c r="L106" s="80"/>
    </row>
    <row r="107" spans="1:12" ht="12.75">
      <c r="A107" s="477"/>
      <c r="B107" s="358" t="s">
        <v>213</v>
      </c>
      <c r="C107" s="490">
        <f>SUM(D107+G107+H107+I107)</f>
        <v>1127000</v>
      </c>
      <c r="D107" s="491">
        <f>SUM(E107+F107)</f>
        <v>708000</v>
      </c>
      <c r="E107" s="491">
        <v>0</v>
      </c>
      <c r="F107" s="491">
        <v>708000</v>
      </c>
      <c r="G107" s="491">
        <v>40800</v>
      </c>
      <c r="H107" s="491">
        <v>0</v>
      </c>
      <c r="I107" s="169">
        <v>378200</v>
      </c>
      <c r="J107" s="492">
        <v>0</v>
      </c>
      <c r="K107" s="699"/>
      <c r="L107" s="80"/>
    </row>
    <row r="108" spans="1:12" ht="12.75" customHeight="1" hidden="1">
      <c r="A108" s="477"/>
      <c r="B108" s="569" t="s">
        <v>214</v>
      </c>
      <c r="C108" s="570">
        <f>SUM(D108+G108+H108+I108)</f>
        <v>3989201</v>
      </c>
      <c r="D108" s="571">
        <f>SUM(E108+F108)</f>
        <v>2294500</v>
      </c>
      <c r="E108" s="571">
        <f aca="true" t="shared" si="24" ref="E108:J108">SUM(E106:E107)</f>
        <v>1000000</v>
      </c>
      <c r="F108" s="571">
        <f t="shared" si="24"/>
        <v>1294500</v>
      </c>
      <c r="G108" s="571">
        <f t="shared" si="24"/>
        <v>381600</v>
      </c>
      <c r="H108" s="571">
        <f t="shared" si="24"/>
        <v>10000</v>
      </c>
      <c r="I108" s="571">
        <f t="shared" si="24"/>
        <v>1303101</v>
      </c>
      <c r="J108" s="572">
        <f t="shared" si="24"/>
        <v>3.8000000000000003</v>
      </c>
      <c r="K108" s="700" t="s">
        <v>215</v>
      </c>
      <c r="L108" s="80"/>
    </row>
    <row r="109" spans="1:12" ht="12.75">
      <c r="A109" s="477"/>
      <c r="B109" s="573" t="s">
        <v>150</v>
      </c>
      <c r="C109" s="490"/>
      <c r="D109" s="491"/>
      <c r="E109" s="491"/>
      <c r="F109" s="491"/>
      <c r="G109" s="491"/>
      <c r="H109" s="491"/>
      <c r="I109" s="169"/>
      <c r="J109" s="492"/>
      <c r="K109" s="699"/>
      <c r="L109" s="80"/>
    </row>
    <row r="110" spans="1:12" ht="12.75">
      <c r="A110" s="477"/>
      <c r="B110" s="400" t="s">
        <v>192</v>
      </c>
      <c r="C110" s="134">
        <f>D110+G110+H110+I110</f>
        <v>2065676</v>
      </c>
      <c r="D110" s="182">
        <f>SUM(E110+F110)</f>
        <v>1176400</v>
      </c>
      <c r="E110" s="337">
        <v>716400</v>
      </c>
      <c r="F110" s="337">
        <v>460000</v>
      </c>
      <c r="G110" s="337">
        <f>ROUND((E110*0.34+F110*0.34),0)-154784</f>
        <v>245192</v>
      </c>
      <c r="H110" s="337">
        <f>ROUND((E110*0.015),0)</f>
        <v>10746</v>
      </c>
      <c r="I110" s="392">
        <f>636920-3582</f>
        <v>633338</v>
      </c>
      <c r="J110" s="399">
        <v>1.2</v>
      </c>
      <c r="K110" s="705"/>
      <c r="L110" s="80"/>
    </row>
    <row r="111" spans="1:12" ht="13.5" thickBot="1">
      <c r="A111" s="477"/>
      <c r="B111" s="424" t="s">
        <v>200</v>
      </c>
      <c r="C111" s="447">
        <f aca="true" t="shared" si="25" ref="C111:J111">SUM(C110:C110)</f>
        <v>2065676</v>
      </c>
      <c r="D111" s="446">
        <f t="shared" si="25"/>
        <v>1176400</v>
      </c>
      <c r="E111" s="425">
        <f t="shared" si="25"/>
        <v>716400</v>
      </c>
      <c r="F111" s="425">
        <f t="shared" si="25"/>
        <v>460000</v>
      </c>
      <c r="G111" s="425">
        <f t="shared" si="25"/>
        <v>245192</v>
      </c>
      <c r="H111" s="425">
        <f t="shared" si="25"/>
        <v>10746</v>
      </c>
      <c r="I111" s="425">
        <f t="shared" si="25"/>
        <v>633338</v>
      </c>
      <c r="J111" s="432">
        <f t="shared" si="25"/>
        <v>1.2</v>
      </c>
      <c r="K111" s="722"/>
      <c r="L111" s="80"/>
    </row>
    <row r="112" spans="1:12" ht="13.5" thickBot="1">
      <c r="A112" s="477"/>
      <c r="B112" s="574" t="s">
        <v>75</v>
      </c>
      <c r="C112" s="575">
        <f aca="true" t="shared" si="26" ref="C112:J112">SUM(C104+C111)</f>
        <v>5118377</v>
      </c>
      <c r="D112" s="562">
        <f t="shared" si="26"/>
        <v>3270900</v>
      </c>
      <c r="E112" s="562">
        <f t="shared" si="26"/>
        <v>1716400</v>
      </c>
      <c r="F112" s="562">
        <f t="shared" si="26"/>
        <v>1554500</v>
      </c>
      <c r="G112" s="562">
        <f t="shared" si="26"/>
        <v>618792</v>
      </c>
      <c r="H112" s="562">
        <f t="shared" si="26"/>
        <v>20746</v>
      </c>
      <c r="I112" s="562">
        <f t="shared" si="26"/>
        <v>1207939</v>
      </c>
      <c r="J112" s="563">
        <f t="shared" si="26"/>
        <v>5</v>
      </c>
      <c r="K112" s="707"/>
      <c r="L112" s="80"/>
    </row>
    <row r="113" spans="1:12" ht="12.75">
      <c r="A113" s="477"/>
      <c r="B113" s="576"/>
      <c r="C113" s="577">
        <f>D113+G113+H113+I113</f>
        <v>0</v>
      </c>
      <c r="D113" s="578">
        <f>SUM(E113+F113)</f>
        <v>0</v>
      </c>
      <c r="E113" s="578"/>
      <c r="F113" s="578"/>
      <c r="G113" s="578"/>
      <c r="H113" s="578"/>
      <c r="I113" s="578"/>
      <c r="J113" s="579"/>
      <c r="K113" s="723"/>
      <c r="L113" s="80"/>
    </row>
    <row r="114" spans="1:12" ht="13.5" thickBot="1">
      <c r="A114" s="477"/>
      <c r="B114" s="574" t="s">
        <v>151</v>
      </c>
      <c r="C114" s="575">
        <f aca="true" t="shared" si="27" ref="C114:J114">C102+C112+C113</f>
        <v>6968841</v>
      </c>
      <c r="D114" s="562">
        <f t="shared" si="27"/>
        <v>3687540</v>
      </c>
      <c r="E114" s="562">
        <f t="shared" si="27"/>
        <v>2133040</v>
      </c>
      <c r="F114" s="562">
        <f t="shared" si="27"/>
        <v>1554500</v>
      </c>
      <c r="G114" s="562">
        <f t="shared" si="27"/>
        <v>760450</v>
      </c>
      <c r="H114" s="562">
        <f t="shared" si="27"/>
        <v>26996</v>
      </c>
      <c r="I114" s="562">
        <f t="shared" si="27"/>
        <v>2493855</v>
      </c>
      <c r="J114" s="563">
        <f t="shared" si="27"/>
        <v>6</v>
      </c>
      <c r="K114" s="707"/>
      <c r="L114" s="80"/>
    </row>
    <row r="116" spans="1:12" ht="26.25" hidden="1" thickBot="1">
      <c r="A116" s="477"/>
      <c r="B116" s="626" t="s">
        <v>152</v>
      </c>
      <c r="C116" s="627">
        <f aca="true" t="shared" si="28" ref="C116:J116">C91-C114</f>
        <v>-6968841.154285669</v>
      </c>
      <c r="D116" s="628">
        <f t="shared" si="28"/>
        <v>-3687540.154285729</v>
      </c>
      <c r="E116" s="628">
        <f t="shared" si="28"/>
        <v>-2133040.154285729</v>
      </c>
      <c r="F116" s="628">
        <f t="shared" si="28"/>
        <v>-1554500</v>
      </c>
      <c r="G116" s="628">
        <f t="shared" si="28"/>
        <v>-760450</v>
      </c>
      <c r="H116" s="628">
        <f t="shared" si="28"/>
        <v>-26996</v>
      </c>
      <c r="I116" s="628">
        <f t="shared" si="28"/>
        <v>-2493855</v>
      </c>
      <c r="J116" s="629">
        <f t="shared" si="28"/>
        <v>-6</v>
      </c>
      <c r="K116" s="630" t="s">
        <v>237</v>
      </c>
      <c r="L116" s="80"/>
    </row>
    <row r="117" spans="1:12" s="61" customFormat="1" ht="12.75">
      <c r="A117" s="477"/>
      <c r="B117" s="687"/>
      <c r="C117" s="519"/>
      <c r="D117" s="519"/>
      <c r="E117" s="519"/>
      <c r="F117" s="519"/>
      <c r="G117" s="519"/>
      <c r="H117" s="519"/>
      <c r="I117" s="519"/>
      <c r="J117" s="688"/>
      <c r="K117" s="689"/>
      <c r="L117" s="477"/>
    </row>
    <row r="118" spans="1:12" ht="12.75">
      <c r="A118" s="477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</row>
    <row r="119" spans="1:12" ht="13.5" thickBot="1">
      <c r="A119" s="477"/>
      <c r="B119" s="581" t="s">
        <v>193</v>
      </c>
      <c r="C119" s="80"/>
      <c r="D119" s="80"/>
      <c r="E119" s="80"/>
      <c r="F119" s="80"/>
      <c r="G119" s="80"/>
      <c r="H119" s="80"/>
      <c r="I119" s="80"/>
      <c r="J119" s="80"/>
      <c r="K119" s="80"/>
      <c r="L119" s="80"/>
    </row>
    <row r="120" spans="1:12" ht="15">
      <c r="A120" s="477"/>
      <c r="B120" s="582" t="s">
        <v>136</v>
      </c>
      <c r="C120" s="583"/>
      <c r="D120" s="584"/>
      <c r="E120" s="584"/>
      <c r="F120" s="584"/>
      <c r="G120" s="584"/>
      <c r="H120" s="584"/>
      <c r="I120" s="585"/>
      <c r="J120" s="586"/>
      <c r="K120" s="727"/>
      <c r="L120" s="477"/>
    </row>
    <row r="121" spans="1:12" ht="25.5">
      <c r="A121" s="477"/>
      <c r="B121" s="527" t="s">
        <v>221</v>
      </c>
      <c r="C121" s="588">
        <f>SUM(D121+G121+H121+I121)</f>
        <v>518000</v>
      </c>
      <c r="D121" s="231">
        <f aca="true" t="shared" si="29" ref="D121:D127">SUM(E121+F121)</f>
        <v>300000</v>
      </c>
      <c r="E121" s="231"/>
      <c r="F121" s="231">
        <v>300000</v>
      </c>
      <c r="G121" s="231">
        <f>ROUND((E121*0.34+F121*0.34),0)</f>
        <v>102000</v>
      </c>
      <c r="H121" s="231">
        <f>ROUND((E121*0.015),0)</f>
        <v>0</v>
      </c>
      <c r="I121" s="225">
        <v>116000</v>
      </c>
      <c r="J121" s="492"/>
      <c r="K121" s="700" t="s">
        <v>222</v>
      </c>
      <c r="L121" s="477"/>
    </row>
    <row r="122" spans="1:12" ht="38.25">
      <c r="A122" s="477"/>
      <c r="B122" s="506" t="s">
        <v>145</v>
      </c>
      <c r="C122" s="490">
        <f>SUM(D122+G122+H122+I122)</f>
        <v>1200000</v>
      </c>
      <c r="D122" s="491">
        <f t="shared" si="29"/>
        <v>0</v>
      </c>
      <c r="E122" s="491"/>
      <c r="F122" s="491"/>
      <c r="G122" s="491">
        <f>ROUND((E122*0.34+F122*0.34),0)</f>
        <v>0</v>
      </c>
      <c r="H122" s="491">
        <f>ROUND((E122*0.015),0)</f>
        <v>0</v>
      </c>
      <c r="I122" s="169">
        <v>1200000</v>
      </c>
      <c r="J122" s="492"/>
      <c r="K122" s="700" t="s">
        <v>223</v>
      </c>
      <c r="L122" s="477"/>
    </row>
    <row r="123" spans="1:12" ht="38.25">
      <c r="A123" s="477"/>
      <c r="B123" s="527" t="s">
        <v>224</v>
      </c>
      <c r="C123" s="588">
        <f>SUM(D123+G123+H123+I123)</f>
        <v>6542200</v>
      </c>
      <c r="D123" s="231">
        <f t="shared" si="29"/>
        <v>5965000</v>
      </c>
      <c r="E123" s="231"/>
      <c r="F123" s="231">
        <v>5965000</v>
      </c>
      <c r="G123" s="231">
        <f>ROUND((E123*0.34+F123*0.34),0)-1660900</f>
        <v>367200</v>
      </c>
      <c r="H123" s="231">
        <f>ROUND((E123*0.015),0)</f>
        <v>0</v>
      </c>
      <c r="I123" s="225">
        <v>210000</v>
      </c>
      <c r="J123" s="492"/>
      <c r="K123" s="700" t="s">
        <v>225</v>
      </c>
      <c r="L123" s="477"/>
    </row>
    <row r="124" spans="1:12" ht="12.75">
      <c r="A124" s="477"/>
      <c r="B124" s="527" t="s">
        <v>226</v>
      </c>
      <c r="C124" s="588">
        <f>SUM(D124+G124+H124+I124)</f>
        <v>100000</v>
      </c>
      <c r="D124" s="231">
        <f t="shared" si="29"/>
        <v>100000</v>
      </c>
      <c r="E124" s="231"/>
      <c r="F124" s="231">
        <v>100000</v>
      </c>
      <c r="G124" s="589">
        <f>ROUND((E124*0.34+F124*0.34),0)-34000</f>
        <v>0</v>
      </c>
      <c r="H124" s="231">
        <f>ROUND((E124*0.015),0)</f>
        <v>0</v>
      </c>
      <c r="I124" s="225"/>
      <c r="J124" s="492"/>
      <c r="K124" s="699" t="s">
        <v>156</v>
      </c>
      <c r="L124" s="477"/>
    </row>
    <row r="125" spans="1:12" ht="12.75">
      <c r="A125" s="477"/>
      <c r="B125" s="400" t="s">
        <v>227</v>
      </c>
      <c r="C125" s="590">
        <f>D125+G125+H125+I125</f>
        <v>485200</v>
      </c>
      <c r="D125" s="337">
        <f t="shared" si="29"/>
        <v>59500</v>
      </c>
      <c r="E125" s="337">
        <v>0</v>
      </c>
      <c r="F125" s="337">
        <v>59500</v>
      </c>
      <c r="G125" s="337">
        <v>0</v>
      </c>
      <c r="H125" s="337">
        <v>0</v>
      </c>
      <c r="I125" s="337">
        <v>425700</v>
      </c>
      <c r="J125" s="512"/>
      <c r="K125" s="705" t="s">
        <v>228</v>
      </c>
      <c r="L125" s="80"/>
    </row>
    <row r="126" spans="1:12" ht="51">
      <c r="A126" s="477"/>
      <c r="B126" s="527" t="s">
        <v>166</v>
      </c>
      <c r="C126" s="490">
        <f>SUM(D126+G126+H126+I126)</f>
        <v>750000</v>
      </c>
      <c r="D126" s="491">
        <f t="shared" si="29"/>
        <v>0</v>
      </c>
      <c r="E126" s="491"/>
      <c r="F126" s="491"/>
      <c r="G126" s="491">
        <f>ROUND((E126*0.34+F126*0.34),0)</f>
        <v>0</v>
      </c>
      <c r="H126" s="491">
        <f>ROUND((E126*0.015),0)</f>
        <v>0</v>
      </c>
      <c r="I126" s="169">
        <v>750000</v>
      </c>
      <c r="J126" s="492"/>
      <c r="K126" s="700" t="s">
        <v>229</v>
      </c>
      <c r="L126" s="80"/>
    </row>
    <row r="127" spans="1:12" ht="12.75">
      <c r="A127" s="477"/>
      <c r="B127" s="657" t="s">
        <v>147</v>
      </c>
      <c r="C127" s="658">
        <f>SUM(D127+G127+H127+I127)</f>
        <v>779343</v>
      </c>
      <c r="D127" s="659">
        <f t="shared" si="29"/>
        <v>427560</v>
      </c>
      <c r="E127" s="659">
        <v>427560</v>
      </c>
      <c r="F127" s="659"/>
      <c r="G127" s="659">
        <f>ROUND((E127*0.34+F127*0.34),0)</f>
        <v>145370</v>
      </c>
      <c r="H127" s="659">
        <f>ROUND((E127*0.015),0)</f>
        <v>6413</v>
      </c>
      <c r="I127" s="660">
        <v>200000</v>
      </c>
      <c r="J127" s="661">
        <v>1</v>
      </c>
      <c r="K127" s="721" t="s">
        <v>268</v>
      </c>
      <c r="L127" s="80"/>
    </row>
    <row r="128" spans="1:12" ht="13.5" thickBot="1">
      <c r="A128" s="477"/>
      <c r="B128" s="513" t="s">
        <v>141</v>
      </c>
      <c r="C128" s="591">
        <f>SUM(C121:C127)</f>
        <v>10374743</v>
      </c>
      <c r="D128" s="592">
        <f aca="true" t="shared" si="30" ref="D128:J128">SUM(D121:D127)</f>
        <v>6852060</v>
      </c>
      <c r="E128" s="592">
        <f t="shared" si="30"/>
        <v>427560</v>
      </c>
      <c r="F128" s="592">
        <f t="shared" si="30"/>
        <v>6424500</v>
      </c>
      <c r="G128" s="592">
        <f t="shared" si="30"/>
        <v>614570</v>
      </c>
      <c r="H128" s="592">
        <f t="shared" si="30"/>
        <v>6413</v>
      </c>
      <c r="I128" s="592">
        <f t="shared" si="30"/>
        <v>2901700</v>
      </c>
      <c r="J128" s="516">
        <f t="shared" si="30"/>
        <v>1</v>
      </c>
      <c r="K128" s="702"/>
      <c r="L128" s="80"/>
    </row>
    <row r="129" spans="1:12" ht="15">
      <c r="A129" s="477"/>
      <c r="B129" s="486" t="s">
        <v>150</v>
      </c>
      <c r="C129" s="593"/>
      <c r="D129" s="489"/>
      <c r="E129" s="594"/>
      <c r="F129" s="594"/>
      <c r="G129" s="594"/>
      <c r="H129" s="594"/>
      <c r="I129" s="595"/>
      <c r="J129" s="526"/>
      <c r="K129" s="704"/>
      <c r="L129" s="80"/>
    </row>
    <row r="130" spans="1:12" ht="12.75">
      <c r="A130" s="467"/>
      <c r="B130" s="393" t="s">
        <v>125</v>
      </c>
      <c r="C130" s="510">
        <f>D130+G130+H130+I130</f>
        <v>5028118</v>
      </c>
      <c r="D130" s="596">
        <f>SUM(E130+F130)</f>
        <v>2920200</v>
      </c>
      <c r="E130" s="394">
        <v>802200</v>
      </c>
      <c r="F130" s="394">
        <f>1849200+268800</f>
        <v>2118000</v>
      </c>
      <c r="G130" s="394">
        <f>679000+90896</f>
        <v>769896</v>
      </c>
      <c r="H130" s="394">
        <f>8000+22</f>
        <v>8022</v>
      </c>
      <c r="I130" s="394">
        <f>1355000-25000</f>
        <v>1330000</v>
      </c>
      <c r="J130" s="401">
        <v>2</v>
      </c>
      <c r="K130" s="705" t="s">
        <v>194</v>
      </c>
      <c r="L130" s="80"/>
    </row>
    <row r="131" spans="1:12" ht="13.5" thickBot="1">
      <c r="A131" s="477"/>
      <c r="B131" s="597" t="s">
        <v>230</v>
      </c>
      <c r="C131" s="521">
        <f aca="true" t="shared" si="31" ref="C131:J131">SUM(C130:C130)</f>
        <v>5028118</v>
      </c>
      <c r="D131" s="515">
        <f t="shared" si="31"/>
        <v>2920200</v>
      </c>
      <c r="E131" s="598">
        <f t="shared" si="31"/>
        <v>802200</v>
      </c>
      <c r="F131" s="598">
        <f t="shared" si="31"/>
        <v>2118000</v>
      </c>
      <c r="G131" s="599">
        <f t="shared" si="31"/>
        <v>769896</v>
      </c>
      <c r="H131" s="515">
        <f t="shared" si="31"/>
        <v>8022</v>
      </c>
      <c r="I131" s="515">
        <f t="shared" si="31"/>
        <v>1330000</v>
      </c>
      <c r="J131" s="516">
        <f t="shared" si="31"/>
        <v>2</v>
      </c>
      <c r="K131" s="724" t="s">
        <v>195</v>
      </c>
      <c r="L131" s="80"/>
    </row>
    <row r="132" spans="1:12" ht="25.5">
      <c r="A132" s="477"/>
      <c r="B132" s="600" t="s">
        <v>231</v>
      </c>
      <c r="C132" s="588">
        <f>D132+G132+H132+I132</f>
        <v>34034030</v>
      </c>
      <c r="D132" s="395">
        <f>SUM(E132+F132)</f>
        <v>19049700</v>
      </c>
      <c r="E132" s="231">
        <v>5753200</v>
      </c>
      <c r="F132" s="231">
        <v>13296500</v>
      </c>
      <c r="G132" s="231">
        <v>6510860</v>
      </c>
      <c r="H132" s="231">
        <v>57530</v>
      </c>
      <c r="I132" s="225">
        <v>8415940</v>
      </c>
      <c r="J132" s="403">
        <v>15.4</v>
      </c>
      <c r="K132" s="700" t="s">
        <v>232</v>
      </c>
      <c r="L132" s="80"/>
    </row>
    <row r="133" spans="1:12" ht="13.5" thickBot="1">
      <c r="A133" s="477"/>
      <c r="B133" s="601" t="s">
        <v>233</v>
      </c>
      <c r="C133" s="602">
        <f>SUM(C132)</f>
        <v>34034030</v>
      </c>
      <c r="D133" s="603">
        <f aca="true" t="shared" si="32" ref="D133:J133">SUM(D132)</f>
        <v>19049700</v>
      </c>
      <c r="E133" s="604">
        <f t="shared" si="32"/>
        <v>5753200</v>
      </c>
      <c r="F133" s="604">
        <f t="shared" si="32"/>
        <v>13296500</v>
      </c>
      <c r="G133" s="367">
        <f t="shared" si="32"/>
        <v>6510860</v>
      </c>
      <c r="H133" s="603">
        <f t="shared" si="32"/>
        <v>57530</v>
      </c>
      <c r="I133" s="603">
        <f t="shared" si="32"/>
        <v>8415940</v>
      </c>
      <c r="J133" s="605">
        <f t="shared" si="32"/>
        <v>15.4</v>
      </c>
      <c r="K133" s="724" t="s">
        <v>234</v>
      </c>
      <c r="L133" s="80"/>
    </row>
    <row r="134" spans="1:12" ht="12.75">
      <c r="A134" s="477"/>
      <c r="B134" s="616"/>
      <c r="C134" s="615"/>
      <c r="D134" s="418"/>
      <c r="E134" s="418"/>
      <c r="F134" s="418"/>
      <c r="G134" s="419"/>
      <c r="H134" s="418"/>
      <c r="I134" s="418"/>
      <c r="J134" s="420"/>
      <c r="K134" s="703"/>
      <c r="L134" s="80"/>
    </row>
    <row r="135" spans="1:12" ht="12.75">
      <c r="A135" s="477"/>
      <c r="B135" s="616" t="s">
        <v>217</v>
      </c>
      <c r="C135" s="615"/>
      <c r="D135" s="418"/>
      <c r="E135" s="418"/>
      <c r="F135" s="418"/>
      <c r="G135" s="419"/>
      <c r="H135" s="418"/>
      <c r="I135" s="418"/>
      <c r="J135" s="420"/>
      <c r="K135" s="703"/>
      <c r="L135" s="80"/>
    </row>
    <row r="136" spans="1:12" ht="12.75">
      <c r="A136" s="477"/>
      <c r="B136" s="580" t="s">
        <v>219</v>
      </c>
      <c r="C136" s="490">
        <f>SUM(D136+G136+H136+I136)</f>
        <v>200000</v>
      </c>
      <c r="D136" s="491">
        <f>SUM(E136+F136)</f>
        <v>200000</v>
      </c>
      <c r="E136" s="491"/>
      <c r="F136" s="491">
        <v>200000</v>
      </c>
      <c r="G136" s="507">
        <f>ROUND((E136*0.34+F136*0.34),0)-68000</f>
        <v>0</v>
      </c>
      <c r="H136" s="491">
        <f>ROUND((E136*0.015),0)</f>
        <v>0</v>
      </c>
      <c r="I136" s="169"/>
      <c r="J136" s="492"/>
      <c r="K136" s="699" t="s">
        <v>155</v>
      </c>
      <c r="L136" s="80"/>
    </row>
    <row r="137" spans="1:12" ht="12.75">
      <c r="A137" s="477"/>
      <c r="B137" s="580" t="s">
        <v>158</v>
      </c>
      <c r="C137" s="490">
        <f>SUM(D137+G137+H137+I137)</f>
        <v>655000</v>
      </c>
      <c r="D137" s="491">
        <f>SUM(E137+F137)</f>
        <v>595000</v>
      </c>
      <c r="E137" s="491"/>
      <c r="F137" s="491">
        <v>595000</v>
      </c>
      <c r="G137" s="507">
        <f>ROUND((E137*0.34+F137*0.34),0)-202300</f>
        <v>0</v>
      </c>
      <c r="H137" s="491">
        <f>ROUND((E137*0.015),0)</f>
        <v>0</v>
      </c>
      <c r="I137" s="169">
        <v>60000</v>
      </c>
      <c r="J137" s="492"/>
      <c r="K137" s="699" t="s">
        <v>157</v>
      </c>
      <c r="L137" s="80"/>
    </row>
    <row r="138" spans="1:12" ht="13.5" thickBot="1">
      <c r="A138" s="477"/>
      <c r="B138" s="617" t="s">
        <v>220</v>
      </c>
      <c r="C138" s="618">
        <f>SUM(C136:C137)</f>
        <v>855000</v>
      </c>
      <c r="D138" s="619">
        <f aca="true" t="shared" si="33" ref="D138:J138">SUM(D136:D137)</f>
        <v>795000</v>
      </c>
      <c r="E138" s="619">
        <f t="shared" si="33"/>
        <v>0</v>
      </c>
      <c r="F138" s="619">
        <f t="shared" si="33"/>
        <v>795000</v>
      </c>
      <c r="G138" s="619">
        <f t="shared" si="33"/>
        <v>0</v>
      </c>
      <c r="H138" s="619">
        <f t="shared" si="33"/>
        <v>0</v>
      </c>
      <c r="I138" s="619">
        <f t="shared" si="33"/>
        <v>60000</v>
      </c>
      <c r="J138" s="620">
        <f t="shared" si="33"/>
        <v>0</v>
      </c>
      <c r="K138" s="725"/>
      <c r="L138" s="80"/>
    </row>
    <row r="139" spans="1:12" ht="15.75" thickTop="1">
      <c r="A139" s="477"/>
      <c r="B139" s="606"/>
      <c r="C139" s="588"/>
      <c r="D139" s="225"/>
      <c r="E139" s="231"/>
      <c r="F139" s="231"/>
      <c r="G139" s="231"/>
      <c r="H139" s="231"/>
      <c r="I139" s="225"/>
      <c r="J139" s="403"/>
      <c r="K139" s="699"/>
      <c r="L139" s="80"/>
    </row>
    <row r="140" spans="1:12" ht="13.5" thickBot="1">
      <c r="A140" s="477"/>
      <c r="B140" s="597" t="s">
        <v>235</v>
      </c>
      <c r="C140" s="607">
        <f>SUM(C128+C131+C133+C138)</f>
        <v>50291891</v>
      </c>
      <c r="D140" s="608">
        <f aca="true" t="shared" si="34" ref="D140:J140">SUM(D128+D131+D133+D138)</f>
        <v>29616960</v>
      </c>
      <c r="E140" s="608">
        <f t="shared" si="34"/>
        <v>6982960</v>
      </c>
      <c r="F140" s="608">
        <f t="shared" si="34"/>
        <v>22634000</v>
      </c>
      <c r="G140" s="608">
        <f t="shared" si="34"/>
        <v>7895326</v>
      </c>
      <c r="H140" s="608">
        <f t="shared" si="34"/>
        <v>71965</v>
      </c>
      <c r="I140" s="608">
        <f t="shared" si="34"/>
        <v>12707640</v>
      </c>
      <c r="J140" s="609">
        <f t="shared" si="34"/>
        <v>18.4</v>
      </c>
      <c r="K140" s="726"/>
      <c r="L140" s="80"/>
    </row>
  </sheetData>
  <sheetProtection/>
  <mergeCells count="6">
    <mergeCell ref="B3:K3"/>
    <mergeCell ref="D6:D8"/>
    <mergeCell ref="E6:F6"/>
    <mergeCell ref="I6:I8"/>
    <mergeCell ref="E7:E8"/>
    <mergeCell ref="F7:F8"/>
  </mergeCells>
  <printOptions horizontalCentered="1"/>
  <pageMargins left="0" right="0" top="0.5905511811023623" bottom="0.1968503937007874" header="0.5118110236220472" footer="0.31496062992125984"/>
  <pageSetup fitToHeight="2" fitToWidth="1" horizontalDpi="600" verticalDpi="600" orientation="portrait" paperSize="8" scale="7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123"/>
  <sheetViews>
    <sheetView zoomScale="75" zoomScaleNormal="75" zoomScalePageLayoutView="0" workbookViewId="0" topLeftCell="A75">
      <selection activeCell="O90" sqref="O90"/>
    </sheetView>
  </sheetViews>
  <sheetFormatPr defaultColWidth="9.00390625" defaultRowHeight="12.75"/>
  <cols>
    <col min="1" max="1" width="2.00390625" style="2" customWidth="1"/>
    <col min="2" max="2" width="60.00390625" style="2" customWidth="1"/>
    <col min="3" max="3" width="14.25390625" style="2" customWidth="1"/>
    <col min="4" max="4" width="13.625" style="2" customWidth="1"/>
    <col min="5" max="5" width="13.00390625" style="2" customWidth="1"/>
    <col min="6" max="6" width="12.00390625" style="2" customWidth="1"/>
    <col min="7" max="7" width="12.625" style="2" customWidth="1"/>
    <col min="8" max="8" width="10.875" style="2" bestFit="1" customWidth="1"/>
    <col min="9" max="9" width="13.625" style="2" customWidth="1"/>
    <col min="10" max="10" width="7.75390625" style="2" customWidth="1"/>
    <col min="11" max="11" width="36.875" style="2" customWidth="1"/>
    <col min="12" max="12" width="9.375" style="2" customWidth="1"/>
    <col min="13" max="16384" width="9.125" style="2" customWidth="1"/>
  </cols>
  <sheetData>
    <row r="1" spans="4:11" ht="18">
      <c r="D1" s="211"/>
      <c r="K1" s="56" t="s">
        <v>34</v>
      </c>
    </row>
    <row r="2" ht="12.75"/>
    <row r="3" spans="2:11" ht="15.75">
      <c r="B3" s="765" t="s">
        <v>258</v>
      </c>
      <c r="C3" s="766"/>
      <c r="D3" s="766"/>
      <c r="E3" s="766"/>
      <c r="F3" s="766"/>
      <c r="G3" s="766"/>
      <c r="H3" s="766"/>
      <c r="I3" s="766"/>
      <c r="J3" s="766"/>
      <c r="K3" s="766"/>
    </row>
    <row r="4" spans="2:11" ht="13.5" thickBot="1">
      <c r="B4" s="3"/>
      <c r="K4" s="84" t="s">
        <v>115</v>
      </c>
    </row>
    <row r="5" spans="2:11" ht="12.75">
      <c r="B5" s="4"/>
      <c r="C5" s="5" t="s">
        <v>21</v>
      </c>
      <c r="D5" s="24"/>
      <c r="E5" s="6"/>
      <c r="F5" s="6" t="s">
        <v>3</v>
      </c>
      <c r="G5" s="6"/>
      <c r="H5" s="6"/>
      <c r="I5" s="7"/>
      <c r="J5" s="87" t="s">
        <v>22</v>
      </c>
      <c r="K5" s="311"/>
    </row>
    <row r="6" spans="2:11" ht="12.75" customHeight="1">
      <c r="B6" s="8"/>
      <c r="C6" s="9" t="s">
        <v>0</v>
      </c>
      <c r="D6" s="767" t="s">
        <v>37</v>
      </c>
      <c r="E6" s="747" t="s">
        <v>5</v>
      </c>
      <c r="F6" s="748"/>
      <c r="G6" s="79" t="s">
        <v>4</v>
      </c>
      <c r="H6" s="324" t="s">
        <v>24</v>
      </c>
      <c r="I6" s="763" t="s">
        <v>7</v>
      </c>
      <c r="J6" s="88" t="s">
        <v>26</v>
      </c>
      <c r="K6" s="312" t="s">
        <v>29</v>
      </c>
    </row>
    <row r="7" spans="2:11" ht="12.75" customHeight="1">
      <c r="B7" s="8"/>
      <c r="C7" s="9"/>
      <c r="D7" s="745"/>
      <c r="E7" s="764" t="s">
        <v>103</v>
      </c>
      <c r="F7" s="764" t="s">
        <v>104</v>
      </c>
      <c r="G7" s="11"/>
      <c r="H7" s="397">
        <v>0.015</v>
      </c>
      <c r="I7" s="750"/>
      <c r="J7" s="88"/>
      <c r="K7" s="313"/>
    </row>
    <row r="8" spans="2:11" ht="12.75">
      <c r="B8" s="8"/>
      <c r="C8" s="9"/>
      <c r="D8" s="746"/>
      <c r="E8" s="741"/>
      <c r="F8" s="741"/>
      <c r="G8" s="10"/>
      <c r="H8" s="10"/>
      <c r="I8" s="751"/>
      <c r="J8" s="88"/>
      <c r="K8" s="313"/>
    </row>
    <row r="9" spans="2:11" ht="13.5" thickBot="1">
      <c r="B9" s="13"/>
      <c r="C9" s="14" t="s">
        <v>10</v>
      </c>
      <c r="D9" s="14" t="s">
        <v>11</v>
      </c>
      <c r="E9" s="78" t="s">
        <v>12</v>
      </c>
      <c r="F9" s="78" t="s">
        <v>13</v>
      </c>
      <c r="G9" s="78" t="s">
        <v>14</v>
      </c>
      <c r="H9" s="78" t="s">
        <v>15</v>
      </c>
      <c r="I9" s="78" t="s">
        <v>16</v>
      </c>
      <c r="J9" s="89" t="s">
        <v>17</v>
      </c>
      <c r="K9" s="314"/>
    </row>
    <row r="10" spans="1:11" ht="14.25">
      <c r="A10" s="15"/>
      <c r="B10" s="59" t="s">
        <v>69</v>
      </c>
      <c r="C10" s="17"/>
      <c r="D10" s="12"/>
      <c r="E10" s="12"/>
      <c r="F10" s="12"/>
      <c r="G10" s="185"/>
      <c r="H10" s="184"/>
      <c r="I10" s="12"/>
      <c r="J10" s="90"/>
      <c r="K10" s="315"/>
    </row>
    <row r="11" spans="1:11" ht="12.75">
      <c r="A11" s="15"/>
      <c r="B11" s="16" t="s">
        <v>19</v>
      </c>
      <c r="C11" s="186">
        <f>SUM(D11+G11+H11+I11)</f>
        <v>23078527</v>
      </c>
      <c r="D11" s="187">
        <f aca="true" t="shared" si="0" ref="D11:D18">SUM(E11+F11)</f>
        <v>11576005</v>
      </c>
      <c r="E11" s="187">
        <v>10820005</v>
      </c>
      <c r="F11" s="187">
        <v>756000</v>
      </c>
      <c r="G11" s="166">
        <f>ROUND((E11*0.34+F11*0.34),0)</f>
        <v>3935842</v>
      </c>
      <c r="H11" s="668">
        <f>ROUND((E11*0.015),0)</f>
        <v>162300</v>
      </c>
      <c r="I11" s="187">
        <v>7404380</v>
      </c>
      <c r="J11" s="474">
        <v>36.9</v>
      </c>
      <c r="K11" s="315"/>
    </row>
    <row r="12" spans="1:11" ht="12.75">
      <c r="A12" s="15"/>
      <c r="B12" s="16" t="s">
        <v>98</v>
      </c>
      <c r="C12" s="186">
        <f aca="true" t="shared" si="1" ref="C12:C18">SUM(D12+G12+H12+I12)</f>
        <v>60317124</v>
      </c>
      <c r="D12" s="187">
        <f t="shared" si="0"/>
        <v>36531346</v>
      </c>
      <c r="E12" s="187">
        <v>33161346</v>
      </c>
      <c r="F12" s="187">
        <v>3370000</v>
      </c>
      <c r="G12" s="166">
        <f aca="true" t="shared" si="2" ref="G12:G18">ROUND((E12*0.34+F12*0.34),0)</f>
        <v>12420658</v>
      </c>
      <c r="H12" s="668">
        <f aca="true" t="shared" si="3" ref="H12:H18">ROUND((E12*0.015),0)</f>
        <v>497420</v>
      </c>
      <c r="I12" s="473">
        <f>10867700</f>
        <v>10867700</v>
      </c>
      <c r="J12" s="474">
        <v>103.8</v>
      </c>
      <c r="K12" s="315"/>
    </row>
    <row r="13" spans="1:11" ht="12.75">
      <c r="A13" s="15"/>
      <c r="B13" s="16" t="s">
        <v>99</v>
      </c>
      <c r="C13" s="186">
        <f t="shared" si="1"/>
        <v>30630505</v>
      </c>
      <c r="D13" s="187">
        <f t="shared" si="0"/>
        <v>16301987</v>
      </c>
      <c r="E13" s="187">
        <v>14829987</v>
      </c>
      <c r="F13" s="187">
        <v>1472000</v>
      </c>
      <c r="G13" s="325">
        <f>ROUND((E13*0.34+F13*0.34)-60941,0)</f>
        <v>5481735</v>
      </c>
      <c r="H13" s="668">
        <f t="shared" si="3"/>
        <v>222450</v>
      </c>
      <c r="I13" s="187">
        <v>8624333</v>
      </c>
      <c r="J13" s="474">
        <v>44.24</v>
      </c>
      <c r="K13" s="315"/>
    </row>
    <row r="14" spans="1:11" ht="12.75">
      <c r="A14" s="15"/>
      <c r="B14" s="16" t="s">
        <v>84</v>
      </c>
      <c r="C14" s="186">
        <f t="shared" si="1"/>
        <v>106935282</v>
      </c>
      <c r="D14" s="187">
        <f t="shared" si="0"/>
        <v>40077034</v>
      </c>
      <c r="E14" s="187">
        <v>39737034</v>
      </c>
      <c r="F14" s="187">
        <v>340000</v>
      </c>
      <c r="G14" s="166">
        <f t="shared" si="2"/>
        <v>13626192</v>
      </c>
      <c r="H14" s="668">
        <f t="shared" si="3"/>
        <v>596056</v>
      </c>
      <c r="I14" s="187">
        <v>52636000</v>
      </c>
      <c r="J14" s="474">
        <v>145.39</v>
      </c>
      <c r="K14" s="315"/>
    </row>
    <row r="15" spans="1:11" ht="12.75">
      <c r="A15" s="15"/>
      <c r="B15" s="16" t="s">
        <v>20</v>
      </c>
      <c r="C15" s="186">
        <f t="shared" si="1"/>
        <v>6646000</v>
      </c>
      <c r="D15" s="187">
        <f t="shared" si="0"/>
        <v>0</v>
      </c>
      <c r="E15" s="187"/>
      <c r="F15" s="187"/>
      <c r="G15" s="166"/>
      <c r="H15" s="668">
        <f t="shared" si="3"/>
        <v>0</v>
      </c>
      <c r="I15" s="187">
        <v>6646000</v>
      </c>
      <c r="J15" s="474"/>
      <c r="K15" s="315"/>
    </row>
    <row r="16" spans="1:11" ht="12.75">
      <c r="A16" s="15"/>
      <c r="B16" s="93" t="s">
        <v>59</v>
      </c>
      <c r="C16" s="186">
        <f t="shared" si="1"/>
        <v>70283479</v>
      </c>
      <c r="D16" s="188">
        <f t="shared" si="0"/>
        <v>45922273</v>
      </c>
      <c r="E16" s="187">
        <v>32738273</v>
      </c>
      <c r="F16" s="188">
        <v>13184000</v>
      </c>
      <c r="G16" s="325">
        <f>ROUND((E16*0.34+F16*0.34)-2997390,0)</f>
        <v>12616183</v>
      </c>
      <c r="H16" s="668">
        <f t="shared" si="3"/>
        <v>491074</v>
      </c>
      <c r="I16" s="188">
        <v>11253949</v>
      </c>
      <c r="J16" s="476">
        <v>103.18</v>
      </c>
      <c r="K16" s="316"/>
    </row>
    <row r="17" spans="1:11" ht="12.75">
      <c r="A17" s="15"/>
      <c r="B17" s="93" t="s">
        <v>60</v>
      </c>
      <c r="C17" s="186">
        <f t="shared" si="1"/>
        <v>183186696</v>
      </c>
      <c r="D17" s="188">
        <f t="shared" si="0"/>
        <v>55058062</v>
      </c>
      <c r="E17" s="187">
        <v>24007572</v>
      </c>
      <c r="F17" s="188">
        <v>31050490</v>
      </c>
      <c r="G17" s="668">
        <f>ROUND((E17*0.34+F17*0.34),0)</f>
        <v>18719741</v>
      </c>
      <c r="H17" s="668">
        <f t="shared" si="3"/>
        <v>360114</v>
      </c>
      <c r="I17" s="188">
        <v>109048779</v>
      </c>
      <c r="J17" s="476">
        <v>70</v>
      </c>
      <c r="K17" s="316"/>
    </row>
    <row r="18" spans="1:11" ht="12.75">
      <c r="A18" s="15"/>
      <c r="B18" s="45" t="s">
        <v>40</v>
      </c>
      <c r="C18" s="186">
        <f t="shared" si="1"/>
        <v>5059048</v>
      </c>
      <c r="D18" s="188">
        <f t="shared" si="0"/>
        <v>2892545</v>
      </c>
      <c r="E18" s="187">
        <v>2002545</v>
      </c>
      <c r="F18" s="188">
        <v>890000</v>
      </c>
      <c r="G18" s="166">
        <f t="shared" si="2"/>
        <v>983465</v>
      </c>
      <c r="H18" s="668">
        <f t="shared" si="3"/>
        <v>30038</v>
      </c>
      <c r="I18" s="188">
        <v>1153000</v>
      </c>
      <c r="J18" s="476">
        <v>6</v>
      </c>
      <c r="K18" s="316"/>
    </row>
    <row r="19" spans="2:11" ht="13.5" thickBot="1">
      <c r="B19" s="92" t="s">
        <v>70</v>
      </c>
      <c r="C19" s="195">
        <f>SUM(C11:C18)</f>
        <v>486136661</v>
      </c>
      <c r="D19" s="190">
        <f aca="true" t="shared" si="4" ref="D19:J19">SUM(D11:D18)</f>
        <v>208359252</v>
      </c>
      <c r="E19" s="190">
        <f>SUM(E11:E18)</f>
        <v>157296762</v>
      </c>
      <c r="F19" s="190">
        <f t="shared" si="4"/>
        <v>51062490</v>
      </c>
      <c r="G19" s="191">
        <f t="shared" si="4"/>
        <v>67783816</v>
      </c>
      <c r="H19" s="191">
        <f t="shared" si="4"/>
        <v>2359452</v>
      </c>
      <c r="I19" s="191">
        <f t="shared" si="4"/>
        <v>207634141</v>
      </c>
      <c r="J19" s="85">
        <f t="shared" si="4"/>
        <v>509.51</v>
      </c>
      <c r="K19" s="317"/>
    </row>
    <row r="20" spans="2:11" ht="13.5" thickTop="1">
      <c r="B20" s="299"/>
      <c r="C20" s="22"/>
      <c r="D20" s="1"/>
      <c r="E20" s="1"/>
      <c r="F20" s="1"/>
      <c r="G20" s="300"/>
      <c r="H20" s="301"/>
      <c r="I20" s="301"/>
      <c r="J20" s="91"/>
      <c r="K20" s="318"/>
    </row>
    <row r="21" spans="2:11" ht="14.25">
      <c r="B21" s="60" t="s">
        <v>79</v>
      </c>
      <c r="C21" s="66"/>
      <c r="D21" s="1"/>
      <c r="E21" s="20"/>
      <c r="F21" s="20"/>
      <c r="G21" s="31"/>
      <c r="H21" s="323"/>
      <c r="I21" s="20"/>
      <c r="J21" s="91"/>
      <c r="K21" s="319"/>
    </row>
    <row r="22" spans="2:11" ht="12.75">
      <c r="B22" s="151" t="s">
        <v>80</v>
      </c>
      <c r="C22" s="177">
        <f>SUM(D22+G22+H22+I22)</f>
        <v>7651986</v>
      </c>
      <c r="D22" s="178">
        <f>SUM(E22+F22)</f>
        <v>5647222</v>
      </c>
      <c r="E22" s="178">
        <v>5647222</v>
      </c>
      <c r="F22" s="178">
        <v>0</v>
      </c>
      <c r="G22" s="178">
        <v>1920056</v>
      </c>
      <c r="H22" s="178">
        <v>84708</v>
      </c>
      <c r="I22" s="83">
        <v>0</v>
      </c>
      <c r="J22" s="160">
        <v>16</v>
      </c>
      <c r="K22" s="319"/>
    </row>
    <row r="23" spans="2:11" ht="12.75">
      <c r="B23" s="209" t="s">
        <v>261</v>
      </c>
      <c r="C23" s="177">
        <f>SUM(D23+G23+H23+I23)</f>
        <v>387130</v>
      </c>
      <c r="D23" s="178">
        <f>SUM(E23+F23)</f>
        <v>288000</v>
      </c>
      <c r="E23" s="178"/>
      <c r="F23" s="178">
        <v>288000</v>
      </c>
      <c r="G23" s="178">
        <f>ROUND((E23*0.34+F23*0.34),0)+1210</f>
        <v>99130</v>
      </c>
      <c r="H23" s="178">
        <f>ROUND((E23*0.015),0)</f>
        <v>0</v>
      </c>
      <c r="I23" s="83"/>
      <c r="J23" s="672"/>
      <c r="K23" s="319"/>
    </row>
    <row r="24" spans="2:11" ht="12.75">
      <c r="B24" s="673" t="s">
        <v>262</v>
      </c>
      <c r="C24" s="177">
        <f>SUM(D24+G24+H24+I24)</f>
        <v>250000</v>
      </c>
      <c r="D24" s="178">
        <f>SUM(E24+F24)</f>
        <v>250000</v>
      </c>
      <c r="E24" s="173"/>
      <c r="F24" s="173">
        <v>250000</v>
      </c>
      <c r="G24" s="328">
        <f>ROUND((E24*0.34+F24*0.34),0)-85000</f>
        <v>0</v>
      </c>
      <c r="H24" s="322">
        <f>ROUND((E24*0.015),0)</f>
        <v>0</v>
      </c>
      <c r="I24" s="178"/>
      <c r="J24" s="86"/>
      <c r="K24" s="728"/>
    </row>
    <row r="25" spans="2:11" ht="13.5" thickBot="1">
      <c r="B25" s="26" t="s">
        <v>47</v>
      </c>
      <c r="C25" s="302">
        <f>SUM(C22:C24)</f>
        <v>8289116</v>
      </c>
      <c r="D25" s="195">
        <f>SUM(E25+F25)</f>
        <v>6185222</v>
      </c>
      <c r="E25" s="196">
        <f aca="true" t="shared" si="5" ref="E25:J25">SUM(E22:E24)</f>
        <v>5647222</v>
      </c>
      <c r="F25" s="196">
        <f t="shared" si="5"/>
        <v>538000</v>
      </c>
      <c r="G25" s="197">
        <f t="shared" si="5"/>
        <v>2019186</v>
      </c>
      <c r="H25" s="197">
        <f t="shared" si="5"/>
        <v>84708</v>
      </c>
      <c r="I25" s="197">
        <f t="shared" si="5"/>
        <v>0</v>
      </c>
      <c r="J25" s="140">
        <f t="shared" si="5"/>
        <v>16</v>
      </c>
      <c r="K25" s="729"/>
    </row>
    <row r="26" spans="2:11" ht="19.5" customHeight="1" hidden="1" thickTop="1">
      <c r="B26" s="60" t="s">
        <v>72</v>
      </c>
      <c r="C26" s="194"/>
      <c r="D26" s="170"/>
      <c r="E26" s="170"/>
      <c r="F26" s="170"/>
      <c r="G26" s="198"/>
      <c r="H26" s="193"/>
      <c r="I26" s="170"/>
      <c r="J26" s="91"/>
      <c r="K26" s="319"/>
    </row>
    <row r="27" spans="2:11" ht="13.5" hidden="1" thickTop="1">
      <c r="B27" s="62" t="s">
        <v>59</v>
      </c>
      <c r="C27" s="175">
        <f>SUM(D27+G27+I27)</f>
        <v>0</v>
      </c>
      <c r="D27" s="175">
        <f>SUM(E27+F27)</f>
        <v>0</v>
      </c>
      <c r="E27" s="170"/>
      <c r="F27" s="170"/>
      <c r="G27" s="176">
        <f>252-252</f>
        <v>0</v>
      </c>
      <c r="H27" s="396"/>
      <c r="I27" s="175"/>
      <c r="J27" s="141"/>
      <c r="K27" s="730"/>
    </row>
    <row r="28" spans="2:11" ht="13.5" hidden="1" thickTop="1">
      <c r="B28" s="19" t="s">
        <v>84</v>
      </c>
      <c r="C28" s="178">
        <f>SUM(D28+G28+I28)</f>
        <v>0</v>
      </c>
      <c r="D28" s="178">
        <f>SUM(E28+F28)</f>
        <v>0</v>
      </c>
      <c r="E28" s="173"/>
      <c r="F28" s="173"/>
      <c r="G28" s="179">
        <f>(E28*0.37)+(F28*0.35)</f>
        <v>0</v>
      </c>
      <c r="H28" s="322"/>
      <c r="I28" s="178"/>
      <c r="J28" s="86"/>
      <c r="K28" s="728"/>
    </row>
    <row r="29" spans="2:11" ht="14.25" hidden="1" thickBot="1" thickTop="1">
      <c r="B29" s="26" t="s">
        <v>75</v>
      </c>
      <c r="C29" s="302">
        <f>SUM(C27:C28)</f>
        <v>0</v>
      </c>
      <c r="D29" s="195">
        <f>SUM(E29+F29)</f>
        <v>0</v>
      </c>
      <c r="E29" s="196">
        <f>SUM(E27:E28)</f>
        <v>0</v>
      </c>
      <c r="F29" s="196">
        <f>SUM(F27:F28)</f>
        <v>0</v>
      </c>
      <c r="G29" s="197">
        <f>SUM(G27:G28)</f>
        <v>0</v>
      </c>
      <c r="H29" s="398"/>
      <c r="I29" s="196">
        <f>SUM(C29-D29-G29)</f>
        <v>0</v>
      </c>
      <c r="J29" s="140">
        <f>SUM(J27:J28)</f>
        <v>0</v>
      </c>
      <c r="K29" s="729"/>
    </row>
    <row r="30" spans="2:11" ht="19.5" customHeight="1" thickTop="1">
      <c r="B30" s="486" t="s">
        <v>250</v>
      </c>
      <c r="C30" s="194"/>
      <c r="D30" s="170"/>
      <c r="E30" s="170"/>
      <c r="F30" s="170"/>
      <c r="G30" s="198"/>
      <c r="H30" s="193"/>
      <c r="I30" s="170"/>
      <c r="J30" s="91"/>
      <c r="K30" s="319"/>
    </row>
    <row r="31" spans="2:11" ht="12.75">
      <c r="B31" s="330" t="s">
        <v>159</v>
      </c>
      <c r="C31" s="490">
        <f aca="true" t="shared" si="6" ref="C31:C37">SUM(D31+G31+I31)</f>
        <v>3841144</v>
      </c>
      <c r="D31" s="491">
        <f aca="true" t="shared" si="7" ref="D31:D37">SUM(E31+F31)</f>
        <v>0</v>
      </c>
      <c r="E31" s="491"/>
      <c r="F31" s="491"/>
      <c r="G31" s="491"/>
      <c r="H31" s="491"/>
      <c r="I31" s="491">
        <v>3841144</v>
      </c>
      <c r="J31" s="492"/>
      <c r="K31" s="319"/>
    </row>
    <row r="32" spans="2:11" ht="12.75">
      <c r="B32" s="330" t="s">
        <v>160</v>
      </c>
      <c r="C32" s="490">
        <f t="shared" si="6"/>
        <v>687000</v>
      </c>
      <c r="D32" s="491">
        <f t="shared" si="7"/>
        <v>0</v>
      </c>
      <c r="E32" s="491"/>
      <c r="F32" s="491"/>
      <c r="G32" s="491"/>
      <c r="H32" s="491"/>
      <c r="I32" s="491">
        <v>687000</v>
      </c>
      <c r="J32" s="492"/>
      <c r="K32" s="319"/>
    </row>
    <row r="33" spans="2:11" ht="12.75">
      <c r="B33" s="330" t="s">
        <v>161</v>
      </c>
      <c r="C33" s="490">
        <f t="shared" si="6"/>
        <v>888000</v>
      </c>
      <c r="D33" s="491">
        <f>SUM(E33+F33)</f>
        <v>0</v>
      </c>
      <c r="E33" s="491"/>
      <c r="F33" s="491"/>
      <c r="G33" s="491"/>
      <c r="H33" s="491"/>
      <c r="I33" s="491">
        <v>888000</v>
      </c>
      <c r="J33" s="492"/>
      <c r="K33" s="319"/>
    </row>
    <row r="34" spans="2:11" ht="12.75">
      <c r="B34" s="330" t="s">
        <v>162</v>
      </c>
      <c r="C34" s="490">
        <f t="shared" si="6"/>
        <v>311500</v>
      </c>
      <c r="D34" s="491">
        <f>SUM(E34+F34)</f>
        <v>0</v>
      </c>
      <c r="E34" s="491"/>
      <c r="F34" s="491"/>
      <c r="G34" s="491"/>
      <c r="H34" s="491"/>
      <c r="I34" s="491">
        <v>311500</v>
      </c>
      <c r="J34" s="492"/>
      <c r="K34" s="319"/>
    </row>
    <row r="35" spans="2:11" ht="12.75">
      <c r="B35" s="330" t="s">
        <v>163</v>
      </c>
      <c r="C35" s="490">
        <f t="shared" si="6"/>
        <v>98000</v>
      </c>
      <c r="D35" s="491">
        <f>SUM(E35+F35)</f>
        <v>0</v>
      </c>
      <c r="E35" s="491"/>
      <c r="F35" s="491"/>
      <c r="G35" s="491"/>
      <c r="H35" s="491"/>
      <c r="I35" s="491">
        <v>98000</v>
      </c>
      <c r="J35" s="492"/>
      <c r="K35" s="319"/>
    </row>
    <row r="36" spans="2:11" ht="12.75">
      <c r="B36" s="330" t="s">
        <v>164</v>
      </c>
      <c r="C36" s="490">
        <f t="shared" si="6"/>
        <v>530500</v>
      </c>
      <c r="D36" s="491">
        <f>SUM(E36+F36)</f>
        <v>0</v>
      </c>
      <c r="E36" s="491"/>
      <c r="F36" s="491"/>
      <c r="G36" s="491"/>
      <c r="H36" s="491"/>
      <c r="I36" s="491">
        <v>530500</v>
      </c>
      <c r="J36" s="492"/>
      <c r="K36" s="319"/>
    </row>
    <row r="37" spans="2:11" ht="12.75">
      <c r="B37" s="330" t="s">
        <v>165</v>
      </c>
      <c r="C37" s="490">
        <f t="shared" si="6"/>
        <v>139000</v>
      </c>
      <c r="D37" s="491">
        <f t="shared" si="7"/>
        <v>0</v>
      </c>
      <c r="E37" s="491"/>
      <c r="F37" s="491"/>
      <c r="G37" s="491"/>
      <c r="H37" s="491"/>
      <c r="I37" s="491">
        <v>139000</v>
      </c>
      <c r="J37" s="492"/>
      <c r="K37" s="319"/>
    </row>
    <row r="38" spans="2:11" ht="13.5" thickBot="1">
      <c r="B38" s="137" t="s">
        <v>71</v>
      </c>
      <c r="C38" s="674">
        <f>SUM(D38+G38+I38)</f>
        <v>6495144</v>
      </c>
      <c r="D38" s="674">
        <f>SUM(E38+F38)</f>
        <v>0</v>
      </c>
      <c r="E38" s="674">
        <f aca="true" t="shared" si="8" ref="E38:J38">SUM(E31:E37)</f>
        <v>0</v>
      </c>
      <c r="F38" s="674">
        <f t="shared" si="8"/>
        <v>0</v>
      </c>
      <c r="G38" s="674">
        <f t="shared" si="8"/>
        <v>0</v>
      </c>
      <c r="H38" s="675">
        <f t="shared" si="8"/>
        <v>0</v>
      </c>
      <c r="I38" s="675">
        <f t="shared" si="8"/>
        <v>6495144</v>
      </c>
      <c r="J38" s="676">
        <f t="shared" si="8"/>
        <v>0</v>
      </c>
      <c r="K38" s="317"/>
    </row>
    <row r="39" spans="2:11" ht="24.75" customHeight="1" thickBot="1" thickTop="1">
      <c r="B39" s="63" t="s">
        <v>76</v>
      </c>
      <c r="C39" s="303">
        <f aca="true" t="shared" si="9" ref="C39:J39">SUM(C19+C29+C25+C38)</f>
        <v>500920921</v>
      </c>
      <c r="D39" s="304">
        <f t="shared" si="9"/>
        <v>214544474</v>
      </c>
      <c r="E39" s="304">
        <f t="shared" si="9"/>
        <v>162943984</v>
      </c>
      <c r="F39" s="304">
        <f t="shared" si="9"/>
        <v>51600490</v>
      </c>
      <c r="G39" s="303">
        <f t="shared" si="9"/>
        <v>69803002</v>
      </c>
      <c r="H39" s="303">
        <f t="shared" si="9"/>
        <v>2444160</v>
      </c>
      <c r="I39" s="303">
        <f t="shared" si="9"/>
        <v>214129285</v>
      </c>
      <c r="J39" s="142">
        <f t="shared" si="9"/>
        <v>525.51</v>
      </c>
      <c r="K39" s="731"/>
    </row>
    <row r="40" spans="2:11" ht="12.75" customHeight="1" thickTop="1">
      <c r="B40" s="65" t="s">
        <v>78</v>
      </c>
      <c r="C40" s="305">
        <f>SUM(C19+C25+C29)</f>
        <v>494425777</v>
      </c>
      <c r="D40" s="206">
        <f aca="true" t="shared" si="10" ref="D40:J40">SUM(D19+D25+D29)</f>
        <v>214544474</v>
      </c>
      <c r="E40" s="206">
        <f t="shared" si="10"/>
        <v>162943984</v>
      </c>
      <c r="F40" s="206">
        <f t="shared" si="10"/>
        <v>51600490</v>
      </c>
      <c r="G40" s="305">
        <f t="shared" si="10"/>
        <v>69803002</v>
      </c>
      <c r="H40" s="305">
        <f t="shared" si="10"/>
        <v>2444160</v>
      </c>
      <c r="I40" s="305">
        <f t="shared" si="10"/>
        <v>207634141</v>
      </c>
      <c r="J40" s="139">
        <f t="shared" si="10"/>
        <v>525.51</v>
      </c>
      <c r="K40" s="318"/>
    </row>
    <row r="41" spans="2:11" ht="12.75" customHeight="1">
      <c r="B41" s="65"/>
      <c r="C41" s="64"/>
      <c r="D41" s="21"/>
      <c r="E41" s="21"/>
      <c r="F41" s="21"/>
      <c r="G41" s="64"/>
      <c r="H41" s="64"/>
      <c r="I41" s="64"/>
      <c r="J41" s="139"/>
      <c r="K41" s="318"/>
    </row>
    <row r="42" spans="1:11" ht="14.25">
      <c r="A42" s="23"/>
      <c r="B42" s="148" t="s">
        <v>79</v>
      </c>
      <c r="C42" s="205"/>
      <c r="D42" s="206"/>
      <c r="E42" s="206"/>
      <c r="F42" s="206"/>
      <c r="G42" s="206"/>
      <c r="H42" s="206"/>
      <c r="I42" s="206"/>
      <c r="J42" s="163"/>
      <c r="K42" s="318"/>
    </row>
    <row r="43" spans="1:11" ht="12.75">
      <c r="A43" s="61"/>
      <c r="B43" s="151" t="str">
        <f>'T1'!B32</f>
        <v>ReferNet</v>
      </c>
      <c r="C43" s="177">
        <f aca="true" t="shared" si="11" ref="C43:C53">SUM(D43+G43+H43+I43)</f>
        <v>900000</v>
      </c>
      <c r="D43" s="178">
        <f aca="true" t="shared" si="12" ref="D43:D53">SUM(E43+F43)</f>
        <v>434000</v>
      </c>
      <c r="E43" s="178">
        <f>'T1'!E32</f>
        <v>360000</v>
      </c>
      <c r="F43" s="178">
        <f>'T1'!F32</f>
        <v>74000</v>
      </c>
      <c r="G43" s="178">
        <f>'T1'!G32</f>
        <v>122400</v>
      </c>
      <c r="H43" s="178">
        <f>'T1'!H32</f>
        <v>5400</v>
      </c>
      <c r="I43" s="83">
        <f>'T1'!I32</f>
        <v>338200</v>
      </c>
      <c r="J43" s="160">
        <f>'T1'!J32</f>
        <v>1.25</v>
      </c>
      <c r="K43" s="321" t="str">
        <f>'T1'!K32</f>
        <v>NÚV</v>
      </c>
    </row>
    <row r="44" spans="2:11" ht="12.75" customHeight="1">
      <c r="B44" s="151" t="str">
        <f>'T1'!B33</f>
        <v>EUROPASS</v>
      </c>
      <c r="C44" s="177">
        <f t="shared" si="11"/>
        <v>1837000</v>
      </c>
      <c r="D44" s="178">
        <f t="shared" si="12"/>
        <v>987000</v>
      </c>
      <c r="E44" s="178">
        <f>'T1'!E33</f>
        <v>450000</v>
      </c>
      <c r="F44" s="178">
        <f>'T1'!F33</f>
        <v>537000</v>
      </c>
      <c r="G44" s="178">
        <f>'T1'!G33</f>
        <v>250000</v>
      </c>
      <c r="H44" s="178">
        <f>'T1'!H33</f>
        <v>6750</v>
      </c>
      <c r="I44" s="83">
        <f>'T1'!I33</f>
        <v>593250</v>
      </c>
      <c r="J44" s="160">
        <f>'T1'!J33</f>
        <v>1.5</v>
      </c>
      <c r="K44" s="321" t="str">
        <f>'T1'!K33</f>
        <v>NÚV</v>
      </c>
    </row>
    <row r="45" spans="2:11" ht="12.75" customHeight="1">
      <c r="B45" s="151" t="str">
        <f>'T1'!B34</f>
        <v>Pokusné ověřování Matematika+</v>
      </c>
      <c r="C45" s="177">
        <f t="shared" si="11"/>
        <v>1332305</v>
      </c>
      <c r="D45" s="178">
        <f t="shared" si="12"/>
        <v>350000</v>
      </c>
      <c r="E45" s="178">
        <f>'T1'!E34</f>
        <v>0</v>
      </c>
      <c r="F45" s="178">
        <f>'T1'!F34</f>
        <v>350000</v>
      </c>
      <c r="G45" s="178">
        <f>'T1'!G34</f>
        <v>119000</v>
      </c>
      <c r="H45" s="178">
        <f>'T1'!H34</f>
        <v>0</v>
      </c>
      <c r="I45" s="83">
        <f>'T1'!I34</f>
        <v>863305</v>
      </c>
      <c r="J45" s="160">
        <f>'T1'!J34</f>
        <v>0</v>
      </c>
      <c r="K45" s="321" t="str">
        <f>'T1'!K34</f>
        <v>CZVV</v>
      </c>
    </row>
    <row r="46" spans="2:11" ht="12.75" customHeight="1">
      <c r="B46" s="151" t="str">
        <f>'T1'!B35</f>
        <v>Pilotní ověřování přijímacího řízení na SŠ 2015</v>
      </c>
      <c r="C46" s="177">
        <f t="shared" si="11"/>
        <v>7492333</v>
      </c>
      <c r="D46" s="178">
        <f t="shared" si="12"/>
        <v>2811045</v>
      </c>
      <c r="E46" s="178">
        <f>'T1'!E35</f>
        <v>0</v>
      </c>
      <c r="F46" s="178">
        <f>'T1'!F35</f>
        <v>2811045</v>
      </c>
      <c r="G46" s="178">
        <f>'T1'!G35</f>
        <v>955755</v>
      </c>
      <c r="H46" s="178">
        <f>'T1'!H35</f>
        <v>0</v>
      </c>
      <c r="I46" s="83">
        <f>'T1'!I35</f>
        <v>3725533</v>
      </c>
      <c r="J46" s="160">
        <f>'T1'!J35</f>
        <v>0</v>
      </c>
      <c r="K46" s="321" t="str">
        <f>'T1'!K35</f>
        <v>CZVV</v>
      </c>
    </row>
    <row r="47" spans="2:11" ht="12.75">
      <c r="B47" s="151" t="str">
        <f>'T1'!B36</f>
        <v>Tisk pracovních sešitů Matermatika pro 6.a7.ročník ZŠ v pološtině</v>
      </c>
      <c r="C47" s="177">
        <f t="shared" si="11"/>
        <v>430000</v>
      </c>
      <c r="D47" s="178">
        <f t="shared" si="12"/>
        <v>0</v>
      </c>
      <c r="E47" s="178">
        <f>'T1'!E36</f>
        <v>0</v>
      </c>
      <c r="F47" s="178">
        <f>'T1'!F36</f>
        <v>0</v>
      </c>
      <c r="G47" s="178">
        <f>'T1'!G36</f>
        <v>0</v>
      </c>
      <c r="H47" s="178">
        <f>'T1'!H36</f>
        <v>0</v>
      </c>
      <c r="I47" s="83">
        <f>'T1'!I36</f>
        <v>430000</v>
      </c>
      <c r="J47" s="160">
        <f>'T1'!J36</f>
        <v>0</v>
      </c>
      <c r="K47" s="321" t="str">
        <f>'T1'!K36</f>
        <v>PC ČT</v>
      </c>
    </row>
    <row r="48" spans="2:11" ht="12.75">
      <c r="B48" s="151" t="str">
        <f>'T1'!B37</f>
        <v>Evropská jazyková cena Label</v>
      </c>
      <c r="C48" s="177">
        <f>SUM(D48+G48+H48+I48)</f>
        <v>1400000</v>
      </c>
      <c r="D48" s="178">
        <f>SUM(E48+F48)</f>
        <v>0</v>
      </c>
      <c r="E48" s="178">
        <f>'T1'!E37</f>
        <v>0</v>
      </c>
      <c r="F48" s="178">
        <f>'T1'!F37</f>
        <v>0</v>
      </c>
      <c r="G48" s="178">
        <f>'T1'!G37</f>
        <v>0</v>
      </c>
      <c r="H48" s="178">
        <f>'T1'!H37</f>
        <v>0</v>
      </c>
      <c r="I48" s="83">
        <f>'T1'!I37</f>
        <v>1400000</v>
      </c>
      <c r="J48" s="160">
        <f>'T1'!J37</f>
        <v>0</v>
      </c>
      <c r="K48" s="321" t="str">
        <f>'T1'!K37</f>
        <v>sek. II</v>
      </c>
    </row>
    <row r="49" spans="2:11" ht="12.75">
      <c r="B49" s="151" t="str">
        <f>'T1'!B39</f>
        <v>Evropské školy Brusel a Lucemburk příp.zvolení ředitele</v>
      </c>
      <c r="C49" s="177">
        <f t="shared" si="11"/>
        <v>1018035</v>
      </c>
      <c r="D49" s="178">
        <f t="shared" si="12"/>
        <v>751317</v>
      </c>
      <c r="E49" s="178">
        <f>'T1'!E39</f>
        <v>751317</v>
      </c>
      <c r="F49" s="178">
        <f>'T1'!F39</f>
        <v>0</v>
      </c>
      <c r="G49" s="178">
        <f>'T1'!G39</f>
        <v>255448</v>
      </c>
      <c r="H49" s="178">
        <f>'T1'!H39</f>
        <v>11270</v>
      </c>
      <c r="I49" s="83">
        <f>'T1'!I39</f>
        <v>0</v>
      </c>
      <c r="J49" s="160">
        <f>'T1'!J39</f>
        <v>1.66</v>
      </c>
      <c r="K49" s="321" t="str">
        <f>'T1'!K39</f>
        <v>DZS</v>
      </c>
    </row>
    <row r="50" spans="2:11" ht="12.75">
      <c r="B50" s="151" t="str">
        <f>'T1'!B40</f>
        <v>Vzdělávací seminář pro české učitele "Jak vyučovat o holocaustu" </v>
      </c>
      <c r="C50" s="177">
        <f t="shared" si="11"/>
        <v>300000</v>
      </c>
      <c r="D50" s="178">
        <f t="shared" si="12"/>
        <v>0</v>
      </c>
      <c r="E50" s="178">
        <f>'T1'!E40</f>
        <v>0</v>
      </c>
      <c r="F50" s="178">
        <f>'T1'!F40</f>
        <v>0</v>
      </c>
      <c r="G50" s="178">
        <f>'T1'!G40</f>
        <v>0</v>
      </c>
      <c r="H50" s="178">
        <f>'T1'!H40</f>
        <v>0</v>
      </c>
      <c r="I50" s="83">
        <f>'T1'!I40</f>
        <v>300000</v>
      </c>
      <c r="J50" s="160">
        <f>'T1'!J40</f>
        <v>0</v>
      </c>
      <c r="K50" s="321" t="str">
        <f>'T1'!K40</f>
        <v>DZS</v>
      </c>
    </row>
    <row r="51" spans="2:11" ht="12.75">
      <c r="B51" s="151" t="str">
        <f>'T1'!B41</f>
        <v>Stipendia v programu AKTION </v>
      </c>
      <c r="C51" s="177">
        <f t="shared" si="11"/>
        <v>824000</v>
      </c>
      <c r="D51" s="178">
        <f t="shared" si="12"/>
        <v>0</v>
      </c>
      <c r="E51" s="178">
        <f>'T1'!E41</f>
        <v>0</v>
      </c>
      <c r="F51" s="178">
        <f>'T1'!F41</f>
        <v>0</v>
      </c>
      <c r="G51" s="178">
        <f>'T1'!G41</f>
        <v>0</v>
      </c>
      <c r="H51" s="178">
        <f>'T1'!H41</f>
        <v>0</v>
      </c>
      <c r="I51" s="83">
        <f>'T1'!I41</f>
        <v>824000</v>
      </c>
      <c r="J51" s="160">
        <f>'T1'!J41</f>
        <v>0</v>
      </c>
      <c r="K51" s="321" t="str">
        <f>'T1'!K41</f>
        <v>DZS</v>
      </c>
    </row>
    <row r="52" spans="2:12" ht="12.75">
      <c r="B52" s="151" t="str">
        <f>'T1'!B42</f>
        <v>Náklady na činnost NK CEEPUS </v>
      </c>
      <c r="C52" s="177">
        <f t="shared" si="11"/>
        <v>140000</v>
      </c>
      <c r="D52" s="178">
        <f t="shared" si="12"/>
        <v>30000</v>
      </c>
      <c r="E52" s="178">
        <f>'T1'!E42</f>
        <v>0</v>
      </c>
      <c r="F52" s="178">
        <f>'T1'!F42</f>
        <v>30000</v>
      </c>
      <c r="G52" s="178">
        <f>'T1'!G42</f>
        <v>0</v>
      </c>
      <c r="H52" s="178">
        <f>'T1'!H42</f>
        <v>0</v>
      </c>
      <c r="I52" s="83">
        <f>'T1'!I42</f>
        <v>110000</v>
      </c>
      <c r="J52" s="160">
        <f>'T1'!J42</f>
        <v>0</v>
      </c>
      <c r="K52" s="321" t="str">
        <f>'T1'!K42</f>
        <v>DZS</v>
      </c>
      <c r="L52" s="84"/>
    </row>
    <row r="53" spans="2:12" ht="25.5">
      <c r="B53" s="151" t="str">
        <f>'T1'!B43</f>
        <v>Finalizace uložení, péče a ochrany knihovní fondu po přestěhování do nového sídla PK</v>
      </c>
      <c r="C53" s="177">
        <f t="shared" si="11"/>
        <v>1251600</v>
      </c>
      <c r="D53" s="178">
        <f t="shared" si="12"/>
        <v>208000</v>
      </c>
      <c r="E53" s="178">
        <f>'T1'!E43</f>
        <v>0</v>
      </c>
      <c r="F53" s="178">
        <f>'T1'!F43</f>
        <v>208000</v>
      </c>
      <c r="G53" s="178">
        <f>'T1'!G43</f>
        <v>43600</v>
      </c>
      <c r="H53" s="178">
        <f>'T1'!H43</f>
        <v>0</v>
      </c>
      <c r="I53" s="83">
        <f>'T1'!I43</f>
        <v>1000000</v>
      </c>
      <c r="J53" s="160">
        <f>'T1'!J43</f>
        <v>0</v>
      </c>
      <c r="K53" s="321" t="str">
        <f>'T1'!K43</f>
        <v>NPMKK</v>
      </c>
      <c r="L53" s="84"/>
    </row>
    <row r="54" spans="2:12" ht="13.5" thickBot="1">
      <c r="B54" s="326" t="str">
        <f>'T1'!B45</f>
        <v>Účelové/ostatní prostředky celkem</v>
      </c>
      <c r="C54" s="327">
        <f>SUM(C43:C53)</f>
        <v>16925273</v>
      </c>
      <c r="D54" s="207">
        <f>SUM(D43:D53)</f>
        <v>5571362</v>
      </c>
      <c r="E54" s="207">
        <f aca="true" t="shared" si="13" ref="E54:J54">SUM(E43:E53)</f>
        <v>1561317</v>
      </c>
      <c r="F54" s="207">
        <f t="shared" si="13"/>
        <v>4010045</v>
      </c>
      <c r="G54" s="207">
        <f t="shared" si="13"/>
        <v>1746203</v>
      </c>
      <c r="H54" s="207">
        <f t="shared" si="13"/>
        <v>23420</v>
      </c>
      <c r="I54" s="207">
        <f t="shared" si="13"/>
        <v>9584288</v>
      </c>
      <c r="J54" s="164">
        <f t="shared" si="13"/>
        <v>4.41</v>
      </c>
      <c r="K54" s="663"/>
      <c r="L54" s="84"/>
    </row>
    <row r="55" spans="2:11" ht="12.75">
      <c r="B55" s="151"/>
      <c r="C55" s="177"/>
      <c r="D55" s="178"/>
      <c r="E55" s="178">
        <f>'T1'!E47</f>
        <v>0</v>
      </c>
      <c r="F55" s="178">
        <f>'T1'!F47</f>
        <v>0</v>
      </c>
      <c r="G55" s="178">
        <f>'T1'!G47</f>
        <v>0</v>
      </c>
      <c r="H55" s="178">
        <f>'T1'!H47</f>
        <v>0</v>
      </c>
      <c r="I55" s="83">
        <f>'T1'!I47</f>
        <v>0</v>
      </c>
      <c r="J55" s="160">
        <f>'T1'!J47</f>
        <v>0</v>
      </c>
      <c r="K55" s="321"/>
    </row>
    <row r="56" spans="2:11" ht="12.75">
      <c r="B56" s="610" t="str">
        <f>'T1'!B48</f>
        <v>Cizinci (účelové prostředky)</v>
      </c>
      <c r="C56" s="177">
        <f aca="true" t="shared" si="14" ref="C56:C89">SUM(D56+G56+H56+I56)</f>
        <v>0</v>
      </c>
      <c r="D56" s="178">
        <f aca="true" t="shared" si="15" ref="D56:D96">SUM(E56+F56)</f>
        <v>0</v>
      </c>
      <c r="E56" s="178">
        <f>'T1'!E48</f>
        <v>0</v>
      </c>
      <c r="F56" s="178">
        <f>'T1'!F48</f>
        <v>0</v>
      </c>
      <c r="G56" s="178">
        <f>'T1'!G48</f>
        <v>0</v>
      </c>
      <c r="H56" s="178">
        <f>'T1'!H48</f>
        <v>0</v>
      </c>
      <c r="I56" s="83">
        <f>'T1'!I48</f>
        <v>0</v>
      </c>
      <c r="J56" s="160">
        <f>'T1'!J48</f>
        <v>0</v>
      </c>
      <c r="K56" s="321"/>
    </row>
    <row r="57" spans="2:11" ht="25.5">
      <c r="B57" s="151" t="str">
        <f>'T1'!B49</f>
        <v>Systém výuky a zkoušek z českého jazyka pro cizince jako jedné z podmínek pro udělení trvalého pobytu (Čeština pro cizince)</v>
      </c>
      <c r="C57" s="177">
        <f t="shared" si="14"/>
        <v>1650000</v>
      </c>
      <c r="D57" s="178">
        <f t="shared" si="15"/>
        <v>650000</v>
      </c>
      <c r="E57" s="178">
        <f>'T1'!E49</f>
        <v>0</v>
      </c>
      <c r="F57" s="178">
        <f>'T1'!F49</f>
        <v>650000</v>
      </c>
      <c r="G57" s="178">
        <f>'T1'!G49</f>
        <v>184000</v>
      </c>
      <c r="H57" s="178">
        <f>'T1'!H49</f>
        <v>0</v>
      </c>
      <c r="I57" s="83">
        <f>'T1'!I49</f>
        <v>816000</v>
      </c>
      <c r="J57" s="160">
        <f>'T1'!J49</f>
        <v>0</v>
      </c>
      <c r="K57" s="321" t="str">
        <f>'T1'!K49</f>
        <v>sek. II/NÚV</v>
      </c>
    </row>
    <row r="58" spans="2:11" ht="25.5">
      <c r="B58" s="151" t="str">
        <f>'T1'!B50</f>
        <v>Systém zkoušek z českých reálií pro účely udělení státního občanství ČR</v>
      </c>
      <c r="C58" s="177">
        <f t="shared" si="14"/>
        <v>200000</v>
      </c>
      <c r="D58" s="178">
        <f t="shared" si="15"/>
        <v>200000</v>
      </c>
      <c r="E58" s="178">
        <f>'T1'!E50</f>
        <v>0</v>
      </c>
      <c r="F58" s="178">
        <f>'T1'!F50</f>
        <v>200000</v>
      </c>
      <c r="G58" s="178">
        <f>'T1'!G50</f>
        <v>0</v>
      </c>
      <c r="H58" s="178">
        <f>'T1'!H50</f>
        <v>0</v>
      </c>
      <c r="I58" s="83">
        <f>'T1'!I50</f>
        <v>0</v>
      </c>
      <c r="J58" s="160">
        <f>'T1'!J50</f>
        <v>0</v>
      </c>
      <c r="K58" s="321" t="str">
        <f>'T1'!K50</f>
        <v>sek. II/NÚV</v>
      </c>
    </row>
    <row r="59" spans="2:11" ht="12.75">
      <c r="B59" s="151" t="str">
        <f>'T1'!B51</f>
        <v>Integrace cizinců - Žáci cizinci ve školách *)</v>
      </c>
      <c r="C59" s="679">
        <f t="shared" si="14"/>
        <v>200000</v>
      </c>
      <c r="D59" s="680">
        <f t="shared" si="15"/>
        <v>0</v>
      </c>
      <c r="E59" s="680">
        <f>'T1'!E51</f>
        <v>0</v>
      </c>
      <c r="F59" s="680">
        <f>'T1'!F51</f>
        <v>0</v>
      </c>
      <c r="G59" s="680">
        <f>'T1'!G51</f>
        <v>0</v>
      </c>
      <c r="H59" s="680">
        <f>'T1'!H51</f>
        <v>0</v>
      </c>
      <c r="I59" s="680">
        <f>'T1'!I51</f>
        <v>200000</v>
      </c>
      <c r="J59" s="681">
        <f>'T1'!J51</f>
        <v>0</v>
      </c>
      <c r="K59" s="321" t="str">
        <f>'T1'!K51</f>
        <v>NIDV, v r.2015 z OPŘO</v>
      </c>
    </row>
    <row r="60" spans="2:11" ht="13.5" thickBot="1">
      <c r="B60" s="664" t="str">
        <f>'T1'!B52</f>
        <v>Cizinci celkem</v>
      </c>
      <c r="C60" s="665">
        <f aca="true" t="shared" si="16" ref="C60:J60">SUM(C57:C59)</f>
        <v>2050000</v>
      </c>
      <c r="D60" s="666">
        <f t="shared" si="16"/>
        <v>850000</v>
      </c>
      <c r="E60" s="666">
        <f t="shared" si="16"/>
        <v>0</v>
      </c>
      <c r="F60" s="666">
        <f t="shared" si="16"/>
        <v>850000</v>
      </c>
      <c r="G60" s="666">
        <f t="shared" si="16"/>
        <v>184000</v>
      </c>
      <c r="H60" s="666">
        <f t="shared" si="16"/>
        <v>0</v>
      </c>
      <c r="I60" s="666">
        <f t="shared" si="16"/>
        <v>1016000</v>
      </c>
      <c r="J60" s="677">
        <f t="shared" si="16"/>
        <v>0</v>
      </c>
      <c r="K60" s="667"/>
    </row>
    <row r="61" spans="2:11" ht="12.75">
      <c r="B61" s="151"/>
      <c r="C61" s="177"/>
      <c r="D61" s="178"/>
      <c r="E61" s="178">
        <f>'T1'!E53</f>
        <v>0</v>
      </c>
      <c r="F61" s="178">
        <f>'T1'!F53</f>
        <v>0</v>
      </c>
      <c r="G61" s="178">
        <f>'T1'!G53</f>
        <v>0</v>
      </c>
      <c r="H61" s="178">
        <f>'T1'!H53</f>
        <v>0</v>
      </c>
      <c r="I61" s="83">
        <f>'T1'!I53</f>
        <v>0</v>
      </c>
      <c r="J61" s="160">
        <f>'T1'!J53</f>
        <v>0</v>
      </c>
      <c r="K61" s="321"/>
    </row>
    <row r="62" spans="2:11" ht="12.75">
      <c r="B62" s="610" t="str">
        <f>'T1'!B54</f>
        <v>Mezinárodní aktivity </v>
      </c>
      <c r="C62" s="177">
        <f t="shared" si="14"/>
        <v>0</v>
      </c>
      <c r="D62" s="178">
        <f t="shared" si="15"/>
        <v>0</v>
      </c>
      <c r="E62" s="178">
        <f>'T1'!E54</f>
        <v>0</v>
      </c>
      <c r="F62" s="178">
        <f>'T1'!F54</f>
        <v>0</v>
      </c>
      <c r="G62" s="178">
        <f>'T1'!G54</f>
        <v>0</v>
      </c>
      <c r="H62" s="178">
        <f>'T1'!H54</f>
        <v>0</v>
      </c>
      <c r="I62" s="83">
        <f>'T1'!I54</f>
        <v>0</v>
      </c>
      <c r="J62" s="160">
        <f>'T1'!J54</f>
        <v>0</v>
      </c>
      <c r="K62" s="321"/>
    </row>
    <row r="63" spans="2:11" ht="12.75">
      <c r="B63" s="151" t="str">
        <f>'T1'!B55</f>
        <v>Mezinárodní konference</v>
      </c>
      <c r="C63" s="177">
        <f t="shared" si="14"/>
        <v>3159783</v>
      </c>
      <c r="D63" s="178">
        <f t="shared" si="15"/>
        <v>475000</v>
      </c>
      <c r="E63" s="178">
        <f>'T1'!E55</f>
        <v>134000</v>
      </c>
      <c r="F63" s="178">
        <f>'T1'!F55</f>
        <v>341000</v>
      </c>
      <c r="G63" s="178">
        <f>'T1'!G55</f>
        <v>46000</v>
      </c>
      <c r="H63" s="178">
        <f>'T1'!H55</f>
        <v>1670</v>
      </c>
      <c r="I63" s="83">
        <f>'T1'!I55</f>
        <v>2637113</v>
      </c>
      <c r="J63" s="160">
        <f>'T1'!J55</f>
        <v>0</v>
      </c>
      <c r="K63" s="321" t="str">
        <f>'T1'!K55</f>
        <v>odb. 64</v>
      </c>
    </row>
    <row r="64" spans="2:11" ht="12.75">
      <c r="B64" s="151" t="str">
        <f>'T1'!B56</f>
        <v>Příspěvky a vklady mezinárodním organizacím</v>
      </c>
      <c r="C64" s="177">
        <f aca="true" t="shared" si="17" ref="C64:C70">SUM(D64+G64+H64+I64)</f>
        <v>7684044</v>
      </c>
      <c r="D64" s="178">
        <f aca="true" t="shared" si="18" ref="D64:D70">SUM(E64+F64)</f>
        <v>0</v>
      </c>
      <c r="E64" s="178">
        <f>'T1'!E56</f>
        <v>0</v>
      </c>
      <c r="F64" s="178">
        <f>'T1'!F56</f>
        <v>0</v>
      </c>
      <c r="G64" s="178">
        <f>'T1'!G56</f>
        <v>0</v>
      </c>
      <c r="H64" s="178">
        <f>'T1'!H56</f>
        <v>0</v>
      </c>
      <c r="I64" s="83">
        <f>'T1'!I56</f>
        <v>7684044</v>
      </c>
      <c r="J64" s="160">
        <f>'T1'!J56</f>
        <v>0</v>
      </c>
      <c r="K64" s="321" t="str">
        <f>'T1'!K56</f>
        <v>odb. 64</v>
      </c>
    </row>
    <row r="65" spans="2:11" ht="12.75">
      <c r="B65" s="151" t="str">
        <f>'T1'!B57</f>
        <v>Stipendium Madeleine Albrightové na Univerzitě v Glasgow </v>
      </c>
      <c r="C65" s="177">
        <f t="shared" si="17"/>
        <v>1085000</v>
      </c>
      <c r="D65" s="178">
        <f t="shared" si="18"/>
        <v>0</v>
      </c>
      <c r="E65" s="178">
        <f>'T1'!E57</f>
        <v>0</v>
      </c>
      <c r="F65" s="178">
        <f>'T1'!F57</f>
        <v>0</v>
      </c>
      <c r="G65" s="178">
        <f>'T1'!G57</f>
        <v>0</v>
      </c>
      <c r="H65" s="178">
        <f>'T1'!H57</f>
        <v>0</v>
      </c>
      <c r="I65" s="83">
        <f>'T1'!I57</f>
        <v>1085000</v>
      </c>
      <c r="J65" s="160">
        <f>'T1'!J57</f>
        <v>0</v>
      </c>
      <c r="K65" s="321" t="str">
        <f>'T1'!K57</f>
        <v>odb. 64</v>
      </c>
    </row>
    <row r="66" spans="2:11" ht="12.75">
      <c r="B66" s="151" t="str">
        <f>'T1'!B58</f>
        <v>Komenského škola ve Vídni</v>
      </c>
      <c r="C66" s="177">
        <f t="shared" si="17"/>
        <v>300000</v>
      </c>
      <c r="D66" s="178">
        <f t="shared" si="18"/>
        <v>0</v>
      </c>
      <c r="E66" s="178">
        <f>'T1'!E58</f>
        <v>0</v>
      </c>
      <c r="F66" s="178">
        <f>'T1'!F58</f>
        <v>0</v>
      </c>
      <c r="G66" s="178">
        <f>'T1'!G58</f>
        <v>0</v>
      </c>
      <c r="H66" s="178">
        <f>'T1'!H58</f>
        <v>0</v>
      </c>
      <c r="I66" s="83">
        <f>'T1'!I58</f>
        <v>300000</v>
      </c>
      <c r="J66" s="160">
        <f>'T1'!J58</f>
        <v>0</v>
      </c>
      <c r="K66" s="321" t="str">
        <f>'T1'!K58</f>
        <v>odb. 64</v>
      </c>
    </row>
    <row r="67" spans="2:11" ht="12.75">
      <c r="B67" s="151" t="str">
        <f>'T1'!B59</f>
        <v>Stipendia občanů ČR v zahraničí</v>
      </c>
      <c r="C67" s="177">
        <f t="shared" si="17"/>
        <v>3693000</v>
      </c>
      <c r="D67" s="178">
        <f t="shared" si="18"/>
        <v>0</v>
      </c>
      <c r="E67" s="178">
        <f>'T1'!E59</f>
        <v>0</v>
      </c>
      <c r="F67" s="178">
        <f>'T1'!F59</f>
        <v>0</v>
      </c>
      <c r="G67" s="178">
        <f>'T1'!G59</f>
        <v>0</v>
      </c>
      <c r="H67" s="178">
        <f>'T1'!H59</f>
        <v>0</v>
      </c>
      <c r="I67" s="83">
        <f>'T1'!I59</f>
        <v>3693000</v>
      </c>
      <c r="J67" s="160">
        <f>'T1'!J59</f>
        <v>0</v>
      </c>
      <c r="K67" s="321" t="str">
        <f>'T1'!K59</f>
        <v>odb. 64</v>
      </c>
    </row>
    <row r="68" spans="2:11" ht="12.75">
      <c r="B68" s="151" t="str">
        <f>'T1'!B60</f>
        <v>Přijetí expertů</v>
      </c>
      <c r="C68" s="177">
        <f t="shared" si="17"/>
        <v>1126000</v>
      </c>
      <c r="D68" s="178">
        <f t="shared" si="18"/>
        <v>0</v>
      </c>
      <c r="E68" s="178">
        <f>'T1'!E60</f>
        <v>0</v>
      </c>
      <c r="F68" s="178">
        <f>'T1'!F60</f>
        <v>0</v>
      </c>
      <c r="G68" s="178">
        <f>'T1'!G60</f>
        <v>0</v>
      </c>
      <c r="H68" s="178">
        <f>'T1'!H60</f>
        <v>0</v>
      </c>
      <c r="I68" s="83">
        <f>'T1'!I60</f>
        <v>1126000</v>
      </c>
      <c r="J68" s="160">
        <f>'T1'!J60</f>
        <v>0</v>
      </c>
      <c r="K68" s="321" t="str">
        <f>'T1'!K60</f>
        <v>odb. 64</v>
      </c>
    </row>
    <row r="69" spans="2:11" ht="12.75">
      <c r="B69" s="151" t="str">
        <f>'T1'!B61</f>
        <v>Projekt Dijon, Nimes - úhrada stravování a ubytování českých žáků </v>
      </c>
      <c r="C69" s="177">
        <f t="shared" si="17"/>
        <v>235000</v>
      </c>
      <c r="D69" s="178">
        <f t="shared" si="18"/>
        <v>0</v>
      </c>
      <c r="E69" s="178">
        <f>'T1'!E61</f>
        <v>0</v>
      </c>
      <c r="F69" s="178">
        <f>'T1'!F61</f>
        <v>0</v>
      </c>
      <c r="G69" s="178">
        <f>'T1'!G61</f>
        <v>0</v>
      </c>
      <c r="H69" s="178">
        <f>'T1'!H61</f>
        <v>0</v>
      </c>
      <c r="I69" s="83">
        <f>'T1'!I61</f>
        <v>235000</v>
      </c>
      <c r="J69" s="160">
        <f>'T1'!J61</f>
        <v>0</v>
      </c>
      <c r="K69" s="321" t="str">
        <f>'T1'!K61</f>
        <v>odb. 64</v>
      </c>
    </row>
    <row r="70" spans="2:11" ht="12.75">
      <c r="B70" s="151" t="str">
        <f>'T1'!B62</f>
        <v>Projekt Pirna</v>
      </c>
      <c r="C70" s="177">
        <f t="shared" si="17"/>
        <v>3214000</v>
      </c>
      <c r="D70" s="178">
        <f t="shared" si="18"/>
        <v>0</v>
      </c>
      <c r="E70" s="178">
        <f>'T1'!E62</f>
        <v>0</v>
      </c>
      <c r="F70" s="178">
        <f>'T1'!F62</f>
        <v>0</v>
      </c>
      <c r="G70" s="178">
        <f>'T1'!G62</f>
        <v>0</v>
      </c>
      <c r="H70" s="178">
        <f>'T1'!H62</f>
        <v>0</v>
      </c>
      <c r="I70" s="83">
        <f>'T1'!I62</f>
        <v>3214000</v>
      </c>
      <c r="J70" s="160">
        <f>'T1'!J62</f>
        <v>0</v>
      </c>
      <c r="K70" s="321"/>
    </row>
    <row r="71" spans="2:11" ht="13.5" thickBot="1">
      <c r="B71" s="326" t="str">
        <f>'T1'!B63</f>
        <v>Mezinárodní aktivity celkem</v>
      </c>
      <c r="C71" s="327">
        <f>SUM(C63:C70)</f>
        <v>20496827</v>
      </c>
      <c r="D71" s="207">
        <f>SUM(D63:D70)</f>
        <v>475000</v>
      </c>
      <c r="E71" s="207">
        <f>'T1'!E63</f>
        <v>134000</v>
      </c>
      <c r="F71" s="207">
        <f>'T1'!F63</f>
        <v>341000</v>
      </c>
      <c r="G71" s="207">
        <f>'T1'!G63</f>
        <v>46000</v>
      </c>
      <c r="H71" s="207">
        <f>'T1'!H63</f>
        <v>1670</v>
      </c>
      <c r="I71" s="207">
        <f>'T1'!I63</f>
        <v>19974157</v>
      </c>
      <c r="J71" s="164">
        <f>'T1'!J63</f>
        <v>0</v>
      </c>
      <c r="K71" s="663"/>
    </row>
    <row r="72" spans="2:11" ht="12.75">
      <c r="B72" s="610"/>
      <c r="C72" s="177"/>
      <c r="D72" s="178"/>
      <c r="E72" s="178"/>
      <c r="F72" s="178"/>
      <c r="G72" s="178"/>
      <c r="H72" s="178"/>
      <c r="I72" s="83"/>
      <c r="J72" s="160"/>
      <c r="K72" s="321"/>
    </row>
    <row r="73" spans="2:11" ht="12.75">
      <c r="B73" s="610" t="str">
        <f>'T1'!B65</f>
        <v>Projekty </v>
      </c>
      <c r="C73" s="177"/>
      <c r="D73" s="178"/>
      <c r="E73" s="178"/>
      <c r="F73" s="178"/>
      <c r="G73" s="178"/>
      <c r="H73" s="178"/>
      <c r="I73" s="83"/>
      <c r="J73" s="160"/>
      <c r="K73" s="321"/>
    </row>
    <row r="74" spans="2:11" ht="12.75">
      <c r="B74" s="151" t="str">
        <f>'T1'!B66</f>
        <v>DZS</v>
      </c>
      <c r="C74" s="177">
        <f t="shared" si="14"/>
        <v>2433000</v>
      </c>
      <c r="D74" s="178">
        <f t="shared" si="15"/>
        <v>378448</v>
      </c>
      <c r="E74" s="178">
        <f>'T1'!E66</f>
        <v>128448</v>
      </c>
      <c r="F74" s="178">
        <f>'T1'!F66</f>
        <v>250000</v>
      </c>
      <c r="G74" s="178">
        <f>'T1'!G66</f>
        <v>128672</v>
      </c>
      <c r="H74" s="178">
        <f>'T1'!H66</f>
        <v>1927</v>
      </c>
      <c r="I74" s="83">
        <f>'T1'!I66</f>
        <v>1923953</v>
      </c>
      <c r="J74" s="160">
        <f>'T1'!J66</f>
        <v>0.67</v>
      </c>
      <c r="K74" s="321"/>
    </row>
    <row r="75" spans="2:12" ht="12.75">
      <c r="B75" s="151" t="str">
        <f>'T1'!B67</f>
        <v>NPMKK</v>
      </c>
      <c r="C75" s="177">
        <f t="shared" si="14"/>
        <v>1424000</v>
      </c>
      <c r="D75" s="178">
        <f t="shared" si="15"/>
        <v>848000</v>
      </c>
      <c r="E75" s="178">
        <f>'T1'!E67</f>
        <v>492000</v>
      </c>
      <c r="F75" s="178">
        <f>'T1'!F67</f>
        <v>356000</v>
      </c>
      <c r="G75" s="178">
        <f>'T1'!G67</f>
        <v>188000</v>
      </c>
      <c r="H75" s="178">
        <f>'T1'!H67</f>
        <v>7380</v>
      </c>
      <c r="I75" s="83">
        <f>'T1'!I67</f>
        <v>380620</v>
      </c>
      <c r="J75" s="160">
        <f>'T1'!J67</f>
        <v>1.8</v>
      </c>
      <c r="K75" s="321"/>
      <c r="L75" s="84"/>
    </row>
    <row r="76" spans="2:12" ht="12.75">
      <c r="B76" s="151" t="str">
        <f>'T1'!B68</f>
        <v>NÚV </v>
      </c>
      <c r="C76" s="177">
        <f t="shared" si="14"/>
        <v>5391749</v>
      </c>
      <c r="D76" s="178">
        <f t="shared" si="15"/>
        <v>3158000</v>
      </c>
      <c r="E76" s="178">
        <f>'T1'!E68</f>
        <v>0</v>
      </c>
      <c r="F76" s="178">
        <f>'T1'!F68</f>
        <v>3158000</v>
      </c>
      <c r="G76" s="178">
        <f>'T1'!G68</f>
        <v>0</v>
      </c>
      <c r="H76" s="178">
        <f>'T1'!H68</f>
        <v>0</v>
      </c>
      <c r="I76" s="83">
        <f>'T1'!I68</f>
        <v>2233749</v>
      </c>
      <c r="J76" s="160">
        <f>'T1'!J68</f>
        <v>0</v>
      </c>
      <c r="K76" s="321"/>
      <c r="L76" s="84"/>
    </row>
    <row r="77" spans="2:11" ht="12.75">
      <c r="B77" s="151" t="str">
        <f>'T1'!B69</f>
        <v>NIDV</v>
      </c>
      <c r="C77" s="177">
        <f t="shared" si="14"/>
        <v>7336950</v>
      </c>
      <c r="D77" s="178">
        <f t="shared" si="15"/>
        <v>4278500</v>
      </c>
      <c r="E77" s="178">
        <f>'T1'!E69</f>
        <v>0</v>
      </c>
      <c r="F77" s="178">
        <f>'T1'!F69</f>
        <v>4278500</v>
      </c>
      <c r="G77" s="178">
        <f>'T1'!G69</f>
        <v>1158000</v>
      </c>
      <c r="H77" s="178">
        <f>'T1'!H69</f>
        <v>0</v>
      </c>
      <c r="I77" s="83">
        <f>'T1'!I69</f>
        <v>1900450</v>
      </c>
      <c r="J77" s="160">
        <f>'T1'!J69</f>
        <v>0</v>
      </c>
      <c r="K77" s="321"/>
    </row>
    <row r="78" spans="2:11" ht="12.75">
      <c r="B78" s="151" t="str">
        <f>'T1'!B70</f>
        <v>PCČT</v>
      </c>
      <c r="C78" s="177">
        <f t="shared" si="14"/>
        <v>150000</v>
      </c>
      <c r="D78" s="178">
        <f t="shared" si="15"/>
        <v>75000</v>
      </c>
      <c r="E78" s="178">
        <f>'T1'!E70</f>
        <v>0</v>
      </c>
      <c r="F78" s="178">
        <f>'T1'!F70</f>
        <v>75000</v>
      </c>
      <c r="G78" s="178">
        <f>'T1'!G70</f>
        <v>0</v>
      </c>
      <c r="H78" s="178">
        <f>'T1'!H70</f>
        <v>0</v>
      </c>
      <c r="I78" s="83">
        <f>'T1'!I70</f>
        <v>75000</v>
      </c>
      <c r="J78" s="160">
        <f>'T1'!J70</f>
        <v>0</v>
      </c>
      <c r="K78" s="321"/>
    </row>
    <row r="79" spans="1:12" ht="12.75">
      <c r="A79" s="477"/>
      <c r="B79" s="151" t="str">
        <f>'T1'!B71</f>
        <v>NTK</v>
      </c>
      <c r="C79" s="177">
        <f>SUM(D79+G79+H79+I79)</f>
        <v>43010000</v>
      </c>
      <c r="D79" s="178">
        <f>SUM(E79+F79)</f>
        <v>0</v>
      </c>
      <c r="E79" s="684">
        <f>'T1'!E71</f>
        <v>0</v>
      </c>
      <c r="F79" s="174">
        <f>'T1'!F71</f>
        <v>0</v>
      </c>
      <c r="G79" s="174">
        <f>'T1'!G71</f>
        <v>0</v>
      </c>
      <c r="H79" s="174">
        <f>'T1'!H71</f>
        <v>0</v>
      </c>
      <c r="I79" s="171">
        <f>'T1'!I71</f>
        <v>43010000</v>
      </c>
      <c r="J79" s="678">
        <f>'T1'!J71</f>
        <v>0</v>
      </c>
      <c r="K79" s="685"/>
      <c r="L79" s="80"/>
    </row>
    <row r="80" spans="2:11" ht="13.5" thickBot="1">
      <c r="B80" s="682" t="str">
        <f>'T1'!B72</f>
        <v>Projekty resortní celkem</v>
      </c>
      <c r="C80" s="665">
        <f t="shared" si="14"/>
        <v>59745699</v>
      </c>
      <c r="D80" s="666">
        <f t="shared" si="15"/>
        <v>8737948</v>
      </c>
      <c r="E80" s="604">
        <f aca="true" t="shared" si="19" ref="E80:J80">SUM(E74:E79)</f>
        <v>620448</v>
      </c>
      <c r="F80" s="604">
        <f t="shared" si="19"/>
        <v>8117500</v>
      </c>
      <c r="G80" s="604">
        <f t="shared" si="19"/>
        <v>1474672</v>
      </c>
      <c r="H80" s="604">
        <f t="shared" si="19"/>
        <v>9307</v>
      </c>
      <c r="I80" s="604">
        <f t="shared" si="19"/>
        <v>49523772</v>
      </c>
      <c r="J80" s="683">
        <f t="shared" si="19"/>
        <v>2.47</v>
      </c>
      <c r="K80" s="732"/>
    </row>
    <row r="81" spans="2:11" ht="14.25" customHeight="1" thickBot="1">
      <c r="B81" s="682" t="str">
        <f>'T1'!B73</f>
        <v>Projekty udržitelnosti</v>
      </c>
      <c r="C81" s="665">
        <f>SUM(D81+G81+H81+I81)</f>
        <v>14410318</v>
      </c>
      <c r="D81" s="666">
        <f>SUM(E81+F81)</f>
        <v>9700535</v>
      </c>
      <c r="E81" s="410">
        <f>'T3'!E72</f>
        <v>5887235</v>
      </c>
      <c r="F81" s="410">
        <f>'T3'!F72</f>
        <v>3813300</v>
      </c>
      <c r="G81" s="410">
        <f>'T3'!G72</f>
        <v>2326960</v>
      </c>
      <c r="H81" s="410">
        <f>'T3'!H72</f>
        <v>56950</v>
      </c>
      <c r="I81" s="410">
        <f>'T3'!I72</f>
        <v>2325873</v>
      </c>
      <c r="J81" s="544">
        <f>'T3'!J72</f>
        <v>16.11</v>
      </c>
      <c r="K81" s="686" t="str">
        <f>'T3'!K72</f>
        <v>NÚV</v>
      </c>
    </row>
    <row r="82" spans="1:11" ht="12.75">
      <c r="A82" s="15"/>
      <c r="B82" s="151"/>
      <c r="C82" s="177"/>
      <c r="D82" s="178"/>
      <c r="E82" s="178"/>
      <c r="F82" s="178"/>
      <c r="G82" s="178"/>
      <c r="H82" s="178"/>
      <c r="I82" s="83"/>
      <c r="J82" s="160"/>
      <c r="K82" s="321"/>
    </row>
    <row r="83" spans="1:11" ht="12.75">
      <c r="A83" s="15"/>
      <c r="B83" s="610" t="str">
        <f>'T3'!B74</f>
        <v>Prostředky u příkazce svodných rozp.operací</v>
      </c>
      <c r="C83" s="177"/>
      <c r="D83" s="178"/>
      <c r="E83" s="178"/>
      <c r="F83" s="178"/>
      <c r="G83" s="178"/>
      <c r="H83" s="178"/>
      <c r="I83" s="83"/>
      <c r="J83" s="160"/>
      <c r="K83" s="321"/>
    </row>
    <row r="84" spans="2:11" ht="12.75">
      <c r="B84" s="298" t="str">
        <f>'T3'!B75</f>
        <v>Kurzové rozdíly</v>
      </c>
      <c r="C84" s="177">
        <f t="shared" si="14"/>
        <v>2000000</v>
      </c>
      <c r="D84" s="178">
        <f t="shared" si="15"/>
        <v>0</v>
      </c>
      <c r="E84" s="178">
        <f>'T3'!E75</f>
        <v>0</v>
      </c>
      <c r="F84" s="178">
        <f>'T3'!F75</f>
        <v>0</v>
      </c>
      <c r="G84" s="178">
        <f>'T3'!G75</f>
        <v>0</v>
      </c>
      <c r="H84" s="178">
        <f>'T3'!H75</f>
        <v>0</v>
      </c>
      <c r="I84" s="83">
        <f>'T3'!I75</f>
        <v>2000000</v>
      </c>
      <c r="J84" s="160">
        <f>'T3'!J75</f>
        <v>0</v>
      </c>
      <c r="K84" s="321"/>
    </row>
    <row r="85" spans="2:11" ht="12.75">
      <c r="B85" s="298" t="str">
        <f>'T3'!B76</f>
        <v>Konsorciální poplatky</v>
      </c>
      <c r="C85" s="177">
        <f t="shared" si="14"/>
        <v>4000000</v>
      </c>
      <c r="D85" s="178">
        <f t="shared" si="15"/>
        <v>0</v>
      </c>
      <c r="E85" s="178">
        <f>'T3'!E76</f>
        <v>0</v>
      </c>
      <c r="F85" s="178">
        <f>'T3'!F76</f>
        <v>0</v>
      </c>
      <c r="G85" s="178">
        <f>'T3'!G76</f>
        <v>0</v>
      </c>
      <c r="H85" s="178">
        <f>'T3'!H76</f>
        <v>0</v>
      </c>
      <c r="I85" s="83">
        <f>'T3'!I76</f>
        <v>4000000</v>
      </c>
      <c r="J85" s="160">
        <f>'T3'!J76</f>
        <v>0</v>
      </c>
      <c r="K85" s="321"/>
    </row>
    <row r="86" spans="2:11" ht="25.5">
      <c r="B86" s="298" t="str">
        <f>'T3'!B77</f>
        <v>DZS - navýšení o zam. sek. VI</v>
      </c>
      <c r="C86" s="177">
        <f t="shared" si="14"/>
        <v>794640.1542857143</v>
      </c>
      <c r="D86" s="178">
        <f t="shared" si="15"/>
        <v>586450.1542857143</v>
      </c>
      <c r="E86" s="178">
        <f>'T3'!E77</f>
        <v>586450.1542857143</v>
      </c>
      <c r="F86" s="178">
        <f>'T3'!F77</f>
        <v>0</v>
      </c>
      <c r="G86" s="178">
        <f>'T3'!G77</f>
        <v>199393</v>
      </c>
      <c r="H86" s="178">
        <f>'T3'!H77</f>
        <v>0</v>
      </c>
      <c r="I86" s="83">
        <f>'T3'!I77</f>
        <v>8797</v>
      </c>
      <c r="J86" s="160">
        <f>'T3'!J77</f>
        <v>2</v>
      </c>
      <c r="K86" s="321" t="str">
        <f>'T3'!K77</f>
        <v>podle mzdové inventury + řešení AMVIA a VbH</v>
      </c>
    </row>
    <row r="87" spans="2:11" ht="12.75">
      <c r="B87" s="298" t="str">
        <f>'T3'!B78</f>
        <v>NPMKK - provozní prostředky (odpisy)</v>
      </c>
      <c r="C87" s="177">
        <f t="shared" si="14"/>
        <v>686502</v>
      </c>
      <c r="D87" s="178">
        <f t="shared" si="15"/>
        <v>0</v>
      </c>
      <c r="E87" s="178">
        <f>'T3'!E78</f>
        <v>0</v>
      </c>
      <c r="F87" s="178">
        <f>'T3'!F78</f>
        <v>0</v>
      </c>
      <c r="G87" s="178">
        <f>'T3'!G78</f>
        <v>0</v>
      </c>
      <c r="H87" s="178">
        <f>'T3'!H78</f>
        <v>0</v>
      </c>
      <c r="I87" s="491">
        <f>549502+137000</f>
        <v>686502</v>
      </c>
      <c r="J87" s="160">
        <f>'T3'!J78</f>
        <v>0</v>
      </c>
      <c r="K87" s="321"/>
    </row>
    <row r="88" spans="2:11" ht="12.75">
      <c r="B88" s="298" t="str">
        <f>'T3'!B79</f>
        <v>Implementace Systému péče a podpory nadání v ČR (SPN) - PERUN</v>
      </c>
      <c r="C88" s="177">
        <f t="shared" si="14"/>
        <v>0</v>
      </c>
      <c r="D88" s="178">
        <f t="shared" si="15"/>
        <v>0</v>
      </c>
      <c r="E88" s="178">
        <f>'T3'!E79</f>
        <v>0</v>
      </c>
      <c r="F88" s="178">
        <f>'T3'!F79</f>
        <v>0</v>
      </c>
      <c r="G88" s="178">
        <f>'T3'!G79</f>
        <v>0</v>
      </c>
      <c r="H88" s="178">
        <f>'T3'!H79</f>
        <v>0</v>
      </c>
      <c r="I88" s="83">
        <f>'T3'!I79</f>
        <v>0</v>
      </c>
      <c r="J88" s="160">
        <f>'T3'!J79</f>
        <v>2</v>
      </c>
      <c r="K88" s="321"/>
    </row>
    <row r="89" spans="2:11" ht="12.75">
      <c r="B89" s="298" t="str">
        <f>'T3'!B80</f>
        <v>Mimořádné dotace</v>
      </c>
      <c r="C89" s="177">
        <f t="shared" si="14"/>
        <v>500000</v>
      </c>
      <c r="D89" s="178">
        <f t="shared" si="15"/>
        <v>0</v>
      </c>
      <c r="E89" s="178">
        <f>'T3'!E80</f>
        <v>0</v>
      </c>
      <c r="F89" s="178">
        <f>'T3'!F80</f>
        <v>0</v>
      </c>
      <c r="G89" s="178">
        <f>'T3'!G80</f>
        <v>0</v>
      </c>
      <c r="H89" s="178">
        <f>'T3'!H80</f>
        <v>0</v>
      </c>
      <c r="I89" s="83">
        <f>'T3'!I80</f>
        <v>500000</v>
      </c>
      <c r="J89" s="160">
        <f>'T3'!J80</f>
        <v>0</v>
      </c>
      <c r="K89" s="321" t="str">
        <f>'T3'!K80</f>
        <v>10x50 000</v>
      </c>
    </row>
    <row r="90" spans="2:11" ht="25.5">
      <c r="B90" s="298" t="str">
        <f>'T3'!B81</f>
        <v>Eurostudent - jen poplatek</v>
      </c>
      <c r="C90" s="177">
        <f>SUM(D90+G90+H90+I90)</f>
        <v>1013000</v>
      </c>
      <c r="D90" s="178">
        <f t="shared" si="15"/>
        <v>0</v>
      </c>
      <c r="E90" s="178">
        <f>'T3'!E81</f>
        <v>0</v>
      </c>
      <c r="F90" s="178">
        <f>'T3'!F81</f>
        <v>0</v>
      </c>
      <c r="G90" s="178">
        <f>'T3'!G81</f>
        <v>0</v>
      </c>
      <c r="H90" s="178">
        <f>'T3'!H81</f>
        <v>0</v>
      </c>
      <c r="I90" s="83">
        <f>'T3'!I81</f>
        <v>1013000</v>
      </c>
      <c r="J90" s="160">
        <f>'T3'!J81</f>
        <v>0</v>
      </c>
      <c r="K90" s="321" t="str">
        <f>'T3'!K81</f>
        <v>sekce III,  předpokládá se refundace 759 000  sek.I (254 000 ze SU s.III)</v>
      </c>
    </row>
    <row r="91" spans="2:11" ht="12.75">
      <c r="B91" s="298" t="str">
        <f>'T3'!B82</f>
        <v>NIQES - ČŠI</v>
      </c>
      <c r="C91" s="177">
        <f>SUM(D91+G91+H91+I91)</f>
        <v>3300000</v>
      </c>
      <c r="D91" s="178">
        <f t="shared" si="15"/>
        <v>0</v>
      </c>
      <c r="E91" s="178">
        <f>'T3'!E82</f>
        <v>0</v>
      </c>
      <c r="F91" s="178">
        <f>'T3'!F82</f>
        <v>0</v>
      </c>
      <c r="G91" s="178">
        <f>'T3'!G82</f>
        <v>0</v>
      </c>
      <c r="H91" s="178">
        <f>'T3'!H82</f>
        <v>0</v>
      </c>
      <c r="I91" s="83">
        <f>'T3'!I82</f>
        <v>3300000</v>
      </c>
      <c r="J91" s="160">
        <f>'T3'!J82</f>
        <v>0</v>
      </c>
      <c r="K91" s="321"/>
    </row>
    <row r="92" spans="2:11" ht="25.5">
      <c r="B92" s="298" t="str">
        <f>'T3'!B83</f>
        <v>Neuznatelné výdaje IPn - odvod a penále</v>
      </c>
      <c r="C92" s="177">
        <f>SUM(D92+G92+H92+I92)</f>
        <v>2000000</v>
      </c>
      <c r="D92" s="178">
        <f t="shared" si="15"/>
        <v>0</v>
      </c>
      <c r="E92" s="178">
        <f>'T3'!E83</f>
        <v>0</v>
      </c>
      <c r="F92" s="178">
        <f>'T3'!F83</f>
        <v>0</v>
      </c>
      <c r="G92" s="178">
        <f>'T3'!G83</f>
        <v>0</v>
      </c>
      <c r="H92" s="178">
        <f>'T3'!H83</f>
        <v>0</v>
      </c>
      <c r="I92" s="83">
        <f>'T3'!I83</f>
        <v>2000000</v>
      </c>
      <c r="J92" s="160">
        <f>'T3'!J83</f>
        <v>0</v>
      </c>
      <c r="K92" s="321" t="str">
        <f>'T3'!K83</f>
        <v>sek.III upřesní potřebu; bude stanoveno jednotné řešení pro všechny sekce</v>
      </c>
    </row>
    <row r="93" spans="2:11" ht="12.75">
      <c r="B93" s="298" t="str">
        <f>'T3'!B84</f>
        <v>Poplatky - soudní rozhodnutí</v>
      </c>
      <c r="C93" s="177">
        <f>SUM(D93+G93+H93+I93)</f>
        <v>400000</v>
      </c>
      <c r="D93" s="178">
        <f>SUM(E93+F93)</f>
        <v>0</v>
      </c>
      <c r="E93" s="178">
        <f>'T3'!E84</f>
        <v>0</v>
      </c>
      <c r="F93" s="178">
        <f>'T3'!F84</f>
        <v>0</v>
      </c>
      <c r="G93" s="178">
        <f>'T3'!G84</f>
        <v>0</v>
      </c>
      <c r="H93" s="178">
        <f>'T3'!H84</f>
        <v>0</v>
      </c>
      <c r="I93" s="83">
        <f>'T3'!I84</f>
        <v>400000</v>
      </c>
      <c r="J93" s="160">
        <f>'T3'!J84</f>
        <v>0</v>
      </c>
      <c r="K93" s="321" t="str">
        <f>'T3'!K84</f>
        <v>sek. VIII</v>
      </c>
    </row>
    <row r="94" spans="1:12" ht="12.75">
      <c r="A94" s="477"/>
      <c r="B94" s="631" t="s">
        <v>113</v>
      </c>
      <c r="C94" s="633">
        <f>D94+G94+H94+I94</f>
        <v>7279543</v>
      </c>
      <c r="D94" s="634">
        <f t="shared" si="15"/>
        <v>0</v>
      </c>
      <c r="E94" s="508"/>
      <c r="F94" s="508"/>
      <c r="G94" s="635">
        <f>ROUND((E94*0.34)+(F94*0.34),0)</f>
        <v>0</v>
      </c>
      <c r="H94" s="636">
        <f>ROUND((E94*0.015),0)</f>
        <v>0</v>
      </c>
      <c r="I94" s="634">
        <f>'T3'!I29-'T4bil'!I38+784399</f>
        <v>7279543</v>
      </c>
      <c r="J94" s="638"/>
      <c r="K94" s="733"/>
      <c r="L94" s="80"/>
    </row>
    <row r="95" spans="1:12" ht="12.75">
      <c r="A95" s="477"/>
      <c r="B95" s="632" t="s">
        <v>135</v>
      </c>
      <c r="C95" s="633">
        <f>D95+G95+H95+I95</f>
        <v>29961824</v>
      </c>
      <c r="D95" s="634">
        <f t="shared" si="15"/>
        <v>8160999</v>
      </c>
      <c r="E95" s="508">
        <v>4499301</v>
      </c>
      <c r="F95" s="508">
        <v>3661698</v>
      </c>
      <c r="G95" s="635">
        <f>ROUND((E95*0.34)+(F95*0.34),0)-1535316</f>
        <v>1239424</v>
      </c>
      <c r="H95" s="636">
        <f>ROUND((E95*0.015),0)-67490</f>
        <v>0</v>
      </c>
      <c r="I95" s="508">
        <v>20561401</v>
      </c>
      <c r="J95" s="637">
        <f>7.4+2.1</f>
        <v>9.5</v>
      </c>
      <c r="K95" s="734"/>
      <c r="L95" s="80"/>
    </row>
    <row r="96" spans="1:12" ht="12.75">
      <c r="A96" s="477"/>
      <c r="B96" s="631" t="s">
        <v>74</v>
      </c>
      <c r="C96" s="633">
        <f>D96+G96+H96+I96</f>
        <v>20000000</v>
      </c>
      <c r="D96" s="634">
        <f t="shared" si="15"/>
        <v>0</v>
      </c>
      <c r="E96" s="508"/>
      <c r="F96" s="508"/>
      <c r="G96" s="635">
        <f>ROUND((E96*0.34)+(F96*0.34),0)</f>
        <v>0</v>
      </c>
      <c r="H96" s="636">
        <f>ROUND((E96*0.015),0)</f>
        <v>0</v>
      </c>
      <c r="I96" s="508">
        <v>20000000</v>
      </c>
      <c r="J96" s="637"/>
      <c r="K96" s="734"/>
      <c r="L96" s="80"/>
    </row>
    <row r="97" spans="1:12" ht="21" customHeight="1" thickBot="1">
      <c r="A97" s="467"/>
      <c r="B97" s="536" t="s">
        <v>52</v>
      </c>
      <c r="C97" s="537">
        <f>SUM(C82:C96)</f>
        <v>71935509.15428571</v>
      </c>
      <c r="D97" s="383">
        <f aca="true" t="shared" si="20" ref="D97:J97">SUM(D82:D96)</f>
        <v>8747449.154285714</v>
      </c>
      <c r="E97" s="383">
        <f t="shared" si="20"/>
        <v>5085751.154285714</v>
      </c>
      <c r="F97" s="383">
        <f t="shared" si="20"/>
        <v>3661698</v>
      </c>
      <c r="G97" s="383">
        <f t="shared" si="20"/>
        <v>1438817</v>
      </c>
      <c r="H97" s="383">
        <f t="shared" si="20"/>
        <v>0</v>
      </c>
      <c r="I97" s="383">
        <f t="shared" si="20"/>
        <v>61749243</v>
      </c>
      <c r="J97" s="538">
        <f t="shared" si="20"/>
        <v>13.5</v>
      </c>
      <c r="K97" s="735"/>
      <c r="L97" s="80"/>
    </row>
    <row r="98" spans="1:12" ht="17.25" customHeight="1" thickBot="1" thickTop="1">
      <c r="A98" s="467"/>
      <c r="B98" s="539" t="s">
        <v>73</v>
      </c>
      <c r="C98" s="540">
        <f>SUM(C39+C54+C60+C71+C80+C81+C97)</f>
        <v>686484547.1542857</v>
      </c>
      <c r="D98" s="541">
        <f aca="true" t="shared" si="21" ref="D98:J98">SUM(D39+D54+D60+D71+D80+D81+D97)</f>
        <v>248626768.15428573</v>
      </c>
      <c r="E98" s="541">
        <f t="shared" si="21"/>
        <v>176232735.15428573</v>
      </c>
      <c r="F98" s="541">
        <f t="shared" si="21"/>
        <v>72394033</v>
      </c>
      <c r="G98" s="542">
        <f t="shared" si="21"/>
        <v>77019654</v>
      </c>
      <c r="H98" s="542">
        <f t="shared" si="21"/>
        <v>2535507</v>
      </c>
      <c r="I98" s="542">
        <f t="shared" si="21"/>
        <v>358302618</v>
      </c>
      <c r="J98" s="543">
        <f t="shared" si="21"/>
        <v>562</v>
      </c>
      <c r="K98" s="736"/>
      <c r="L98" s="80"/>
    </row>
    <row r="99" spans="1:12" ht="28.5" customHeight="1" thickBot="1">
      <c r="A99" s="477"/>
      <c r="B99" s="545" t="s">
        <v>206</v>
      </c>
      <c r="C99" s="546">
        <f>D99+G99+H99+I99</f>
        <v>686484547</v>
      </c>
      <c r="D99" s="547">
        <f>E99+F99</f>
        <v>248626768</v>
      </c>
      <c r="E99" s="548">
        <f aca="true" t="shared" si="22" ref="E99:J99">E102-E103</f>
        <v>176232735</v>
      </c>
      <c r="F99" s="548">
        <f t="shared" si="22"/>
        <v>72394033</v>
      </c>
      <c r="G99" s="548">
        <f t="shared" si="22"/>
        <v>77019654</v>
      </c>
      <c r="H99" s="548">
        <f t="shared" si="22"/>
        <v>2535507</v>
      </c>
      <c r="I99" s="548">
        <f t="shared" si="22"/>
        <v>358302618</v>
      </c>
      <c r="J99" s="549">
        <f t="shared" si="22"/>
        <v>562</v>
      </c>
      <c r="K99" s="737"/>
      <c r="L99" s="80"/>
    </row>
    <row r="100" spans="1:12" ht="26.25" thickBot="1">
      <c r="A100" s="550"/>
      <c r="B100" s="551" t="s">
        <v>33</v>
      </c>
      <c r="C100" s="552">
        <f aca="true" t="shared" si="23" ref="C100:J100">SUM(C99-C98)</f>
        <v>-0.15428566932678223</v>
      </c>
      <c r="D100" s="410">
        <f t="shared" si="23"/>
        <v>-0.154285728931427</v>
      </c>
      <c r="E100" s="410">
        <f t="shared" si="23"/>
        <v>-0.154285728931427</v>
      </c>
      <c r="F100" s="553">
        <f t="shared" si="23"/>
        <v>0</v>
      </c>
      <c r="G100" s="410">
        <f t="shared" si="23"/>
        <v>0</v>
      </c>
      <c r="H100" s="410">
        <f t="shared" si="23"/>
        <v>0</v>
      </c>
      <c r="I100" s="409">
        <f t="shared" si="23"/>
        <v>0</v>
      </c>
      <c r="J100" s="554">
        <f t="shared" si="23"/>
        <v>0</v>
      </c>
      <c r="K100" s="736"/>
      <c r="L100" s="80"/>
    </row>
    <row r="101" spans="1:12" ht="12.75">
      <c r="A101" s="550"/>
      <c r="B101" s="623"/>
      <c r="C101" s="624"/>
      <c r="D101" s="624"/>
      <c r="E101" s="624"/>
      <c r="F101" s="624"/>
      <c r="G101" s="624"/>
      <c r="H101" s="624"/>
      <c r="I101" s="519"/>
      <c r="J101" s="625"/>
      <c r="K101" s="625"/>
      <c r="L101" s="80"/>
    </row>
    <row r="102" spans="1:12" ht="12.75">
      <c r="A102" s="477"/>
      <c r="B102" s="180" t="s">
        <v>118</v>
      </c>
      <c r="C102" s="389">
        <f>D102+G102+H102+I102</f>
        <v>733938547</v>
      </c>
      <c r="D102" s="389">
        <f>E102+F102</f>
        <v>257276768</v>
      </c>
      <c r="E102" s="389">
        <v>184882735</v>
      </c>
      <c r="F102" s="389">
        <v>72394033</v>
      </c>
      <c r="G102" s="389">
        <v>79960654</v>
      </c>
      <c r="H102" s="389">
        <v>2665257</v>
      </c>
      <c r="I102" s="389">
        <v>394035868</v>
      </c>
      <c r="J102" s="555">
        <v>608</v>
      </c>
      <c r="K102" s="80"/>
      <c r="L102" s="389"/>
    </row>
    <row r="103" spans="1:12" ht="12.75">
      <c r="A103" s="477"/>
      <c r="B103" s="180" t="s">
        <v>117</v>
      </c>
      <c r="C103" s="389">
        <f>D103+G103+H103+I103</f>
        <v>47454000</v>
      </c>
      <c r="D103" s="389">
        <f>E103+F103</f>
        <v>8650000</v>
      </c>
      <c r="E103" s="389">
        <v>8650000</v>
      </c>
      <c r="F103" s="389">
        <v>0</v>
      </c>
      <c r="G103" s="389">
        <v>2941000</v>
      </c>
      <c r="H103" s="389">
        <v>129750</v>
      </c>
      <c r="I103" s="389">
        <f>29376500+6400000-43250</f>
        <v>35733250</v>
      </c>
      <c r="J103" s="555">
        <v>46</v>
      </c>
      <c r="K103" s="80"/>
      <c r="L103" s="389"/>
    </row>
    <row r="104" spans="1:12" ht="12.75">
      <c r="A104" s="477"/>
      <c r="B104" s="180"/>
      <c r="C104" s="389"/>
      <c r="D104" s="389"/>
      <c r="E104" s="389"/>
      <c r="F104" s="389"/>
      <c r="G104" s="389"/>
      <c r="H104" s="389"/>
      <c r="I104" s="389"/>
      <c r="J104" s="555"/>
      <c r="K104" s="80"/>
      <c r="L104" s="389"/>
    </row>
    <row r="105" spans="1:12" ht="12.75">
      <c r="A105" s="477"/>
      <c r="B105" s="80"/>
      <c r="C105" s="389"/>
      <c r="D105" s="389"/>
      <c r="E105" s="389"/>
      <c r="F105" s="389"/>
      <c r="G105" s="389"/>
      <c r="H105" s="389"/>
      <c r="I105" s="389"/>
      <c r="J105" s="556"/>
      <c r="K105" s="80"/>
      <c r="L105" s="389"/>
    </row>
    <row r="106" spans="1:12" ht="15.75">
      <c r="A106" s="80"/>
      <c r="B106" s="557" t="s">
        <v>153</v>
      </c>
      <c r="C106" s="556"/>
      <c r="D106" s="556"/>
      <c r="E106" s="556"/>
      <c r="F106" s="556"/>
      <c r="G106" s="556"/>
      <c r="H106" s="556"/>
      <c r="I106" s="556"/>
      <c r="J106" s="80"/>
      <c r="K106" s="80"/>
      <c r="L106" s="389"/>
    </row>
    <row r="107" spans="1:12" ht="15">
      <c r="A107" s="477"/>
      <c r="B107" s="558" t="s">
        <v>136</v>
      </c>
      <c r="C107" s="524"/>
      <c r="D107" s="525"/>
      <c r="E107" s="525"/>
      <c r="F107" s="525"/>
      <c r="G107" s="525"/>
      <c r="H107" s="525"/>
      <c r="I107" s="487"/>
      <c r="J107" s="526"/>
      <c r="K107" s="704"/>
      <c r="L107" s="180"/>
    </row>
    <row r="108" spans="1:12" ht="12.75">
      <c r="A108" s="477"/>
      <c r="B108" s="559" t="s">
        <v>143</v>
      </c>
      <c r="C108" s="490">
        <f>SUM(D108+G108+H108+I108)</f>
        <v>163000</v>
      </c>
      <c r="D108" s="491">
        <f>SUM(E108+F108)</f>
        <v>0</v>
      </c>
      <c r="E108" s="491"/>
      <c r="F108" s="491"/>
      <c r="G108" s="491">
        <f>ROUND((E108*0.34+F108*0.34),0)</f>
        <v>0</v>
      </c>
      <c r="H108" s="491">
        <f>ROUND((E108*0.015),0)</f>
        <v>0</v>
      </c>
      <c r="I108" s="169">
        <v>163000</v>
      </c>
      <c r="J108" s="492"/>
      <c r="K108" s="721" t="s">
        <v>207</v>
      </c>
      <c r="L108" s="80"/>
    </row>
    <row r="109" spans="1:12" ht="25.5">
      <c r="A109" s="477"/>
      <c r="B109" s="559" t="s">
        <v>144</v>
      </c>
      <c r="C109" s="490">
        <f>SUM(D109+G109+H109+I109)</f>
        <v>700000</v>
      </c>
      <c r="D109" s="491">
        <f>SUM(E109+F109)</f>
        <v>0</v>
      </c>
      <c r="E109" s="491"/>
      <c r="F109" s="491"/>
      <c r="G109" s="491">
        <f>ROUND((E109*0.34+F109*0.34),0)</f>
        <v>0</v>
      </c>
      <c r="H109" s="491">
        <f>ROUND((E109*0.015),0)</f>
        <v>0</v>
      </c>
      <c r="I109" s="169">
        <v>700000</v>
      </c>
      <c r="J109" s="492"/>
      <c r="K109" s="721" t="s">
        <v>243</v>
      </c>
      <c r="L109" s="80"/>
    </row>
    <row r="110" spans="1:12" ht="25.5">
      <c r="A110" s="477"/>
      <c r="B110" s="559" t="s">
        <v>146</v>
      </c>
      <c r="C110" s="490">
        <f>SUM(D110+G110+H110+I110)</f>
        <v>987464</v>
      </c>
      <c r="D110" s="491">
        <f>SUM(E110+F110)</f>
        <v>416640</v>
      </c>
      <c r="E110" s="491">
        <v>416640</v>
      </c>
      <c r="F110" s="491"/>
      <c r="G110" s="491">
        <f>ROUND((E110*0.34+F110*0.34),0)</f>
        <v>141658</v>
      </c>
      <c r="H110" s="491">
        <f>ROUND((E110*0.015),0)</f>
        <v>6250</v>
      </c>
      <c r="I110" s="169">
        <v>422916</v>
      </c>
      <c r="J110" s="492">
        <v>1</v>
      </c>
      <c r="K110" s="721" t="s">
        <v>269</v>
      </c>
      <c r="L110" s="80"/>
    </row>
    <row r="111" spans="1:12" ht="13.5" thickBot="1">
      <c r="A111" s="477"/>
      <c r="B111" s="560" t="s">
        <v>141</v>
      </c>
      <c r="C111" s="561">
        <f aca="true" t="shared" si="24" ref="C111:J111">SUM(C108:C110)</f>
        <v>1850464</v>
      </c>
      <c r="D111" s="562">
        <f t="shared" si="24"/>
        <v>416640</v>
      </c>
      <c r="E111" s="562">
        <f t="shared" si="24"/>
        <v>416640</v>
      </c>
      <c r="F111" s="562">
        <f t="shared" si="24"/>
        <v>0</v>
      </c>
      <c r="G111" s="562">
        <f t="shared" si="24"/>
        <v>141658</v>
      </c>
      <c r="H111" s="562">
        <f t="shared" si="24"/>
        <v>6250</v>
      </c>
      <c r="I111" s="562">
        <f t="shared" si="24"/>
        <v>1285916</v>
      </c>
      <c r="J111" s="563">
        <f t="shared" si="24"/>
        <v>1</v>
      </c>
      <c r="K111" s="702"/>
      <c r="L111" s="80"/>
    </row>
    <row r="112" spans="1:12" ht="12.75">
      <c r="A112" s="477"/>
      <c r="B112" s="671" t="s">
        <v>72</v>
      </c>
      <c r="C112" s="524"/>
      <c r="D112" s="525"/>
      <c r="E112" s="525"/>
      <c r="F112" s="525"/>
      <c r="G112" s="525"/>
      <c r="H112" s="525"/>
      <c r="I112" s="487"/>
      <c r="J112" s="488"/>
      <c r="K112" s="704"/>
      <c r="L112" s="180"/>
    </row>
    <row r="113" spans="1:12" ht="12.75">
      <c r="A113" s="477"/>
      <c r="B113" s="565" t="s">
        <v>149</v>
      </c>
      <c r="C113" s="566">
        <f>SUM(D113+G113+H113+I113)</f>
        <v>3052701</v>
      </c>
      <c r="D113" s="567">
        <f>SUM(E113+F113)</f>
        <v>2094500</v>
      </c>
      <c r="E113" s="567">
        <v>1000000</v>
      </c>
      <c r="F113" s="567">
        <v>1094500</v>
      </c>
      <c r="G113" s="567">
        <v>373600</v>
      </c>
      <c r="H113" s="567">
        <v>10000</v>
      </c>
      <c r="I113" s="567">
        <v>574601</v>
      </c>
      <c r="J113" s="568">
        <v>3.8000000000000003</v>
      </c>
      <c r="K113" s="699"/>
      <c r="L113" s="80"/>
    </row>
    <row r="114" spans="1:12" ht="12.75">
      <c r="A114" s="477"/>
      <c r="B114" s="569" t="s">
        <v>211</v>
      </c>
      <c r="C114" s="490">
        <f>SUM(D114+G114+H114+I114)</f>
        <v>-936500</v>
      </c>
      <c r="D114" s="491">
        <f>SUM(E114+F114)</f>
        <v>-200000</v>
      </c>
      <c r="E114" s="491">
        <v>0</v>
      </c>
      <c r="F114" s="491">
        <v>-200000</v>
      </c>
      <c r="G114" s="491">
        <v>-8000</v>
      </c>
      <c r="H114" s="491">
        <v>0</v>
      </c>
      <c r="I114" s="169">
        <v>-728500</v>
      </c>
      <c r="J114" s="492">
        <v>0</v>
      </c>
      <c r="K114" s="699"/>
      <c r="L114" s="80"/>
    </row>
    <row r="115" spans="1:12" ht="12.75">
      <c r="A115" s="477"/>
      <c r="B115" s="358" t="s">
        <v>212</v>
      </c>
      <c r="C115" s="490">
        <f>SUM(D115+G115+H115+I115)</f>
        <v>2862201</v>
      </c>
      <c r="D115" s="491">
        <f>SUM(E115+F115)</f>
        <v>1586500</v>
      </c>
      <c r="E115" s="491">
        <v>1000000</v>
      </c>
      <c r="F115" s="491">
        <v>586500</v>
      </c>
      <c r="G115" s="491">
        <v>340800</v>
      </c>
      <c r="H115" s="491">
        <v>10000</v>
      </c>
      <c r="I115" s="169">
        <v>924901</v>
      </c>
      <c r="J115" s="492">
        <v>3.8000000000000003</v>
      </c>
      <c r="K115" s="699"/>
      <c r="L115" s="80"/>
    </row>
    <row r="116" spans="1:12" ht="12.75">
      <c r="A116" s="477"/>
      <c r="B116" s="358" t="s">
        <v>213</v>
      </c>
      <c r="C116" s="490">
        <f>SUM(D116+G116+H116+I116)</f>
        <v>1127000</v>
      </c>
      <c r="D116" s="491">
        <f>SUM(E116+F116)</f>
        <v>708000</v>
      </c>
      <c r="E116" s="491">
        <v>0</v>
      </c>
      <c r="F116" s="491">
        <v>708000</v>
      </c>
      <c r="G116" s="491">
        <v>40800</v>
      </c>
      <c r="H116" s="491">
        <v>0</v>
      </c>
      <c r="I116" s="169">
        <v>378200</v>
      </c>
      <c r="J116" s="492">
        <v>0</v>
      </c>
      <c r="K116" s="699"/>
      <c r="L116" s="80"/>
    </row>
    <row r="117" spans="1:12" ht="12.75" customHeight="1" hidden="1">
      <c r="A117" s="477"/>
      <c r="B117" s="569" t="s">
        <v>214</v>
      </c>
      <c r="C117" s="570">
        <f>SUM(D117+G117+H117+I117)</f>
        <v>3989201</v>
      </c>
      <c r="D117" s="571">
        <f>SUM(E117+F117)</f>
        <v>2294500</v>
      </c>
      <c r="E117" s="571">
        <f aca="true" t="shared" si="25" ref="E117:J117">SUM(E115:E116)</f>
        <v>1000000</v>
      </c>
      <c r="F117" s="571">
        <f t="shared" si="25"/>
        <v>1294500</v>
      </c>
      <c r="G117" s="571">
        <f t="shared" si="25"/>
        <v>381600</v>
      </c>
      <c r="H117" s="571">
        <f t="shared" si="25"/>
        <v>10000</v>
      </c>
      <c r="I117" s="571">
        <f t="shared" si="25"/>
        <v>1303101</v>
      </c>
      <c r="J117" s="572">
        <f t="shared" si="25"/>
        <v>3.8000000000000003</v>
      </c>
      <c r="K117" s="700" t="s">
        <v>215</v>
      </c>
      <c r="L117" s="80"/>
    </row>
    <row r="118" spans="1:12" ht="12.75">
      <c r="A118" s="477"/>
      <c r="B118" s="573" t="s">
        <v>150</v>
      </c>
      <c r="C118" s="490"/>
      <c r="D118" s="491"/>
      <c r="E118" s="491"/>
      <c r="F118" s="491"/>
      <c r="G118" s="491"/>
      <c r="H118" s="491"/>
      <c r="I118" s="169"/>
      <c r="J118" s="492"/>
      <c r="K118" s="699"/>
      <c r="L118" s="80"/>
    </row>
    <row r="119" spans="1:12" ht="12.75">
      <c r="A119" s="477"/>
      <c r="B119" s="400" t="s">
        <v>192</v>
      </c>
      <c r="C119" s="134">
        <f>D119+G119+H119+I119</f>
        <v>2065676</v>
      </c>
      <c r="D119" s="182">
        <f>SUM(E119+F119)</f>
        <v>1176400</v>
      </c>
      <c r="E119" s="337">
        <v>716400</v>
      </c>
      <c r="F119" s="337">
        <v>460000</v>
      </c>
      <c r="G119" s="337">
        <f>ROUND((E119*0.34+F119*0.34),0)-154784</f>
        <v>245192</v>
      </c>
      <c r="H119" s="337">
        <f>ROUND((E119*0.015),0)</f>
        <v>10746</v>
      </c>
      <c r="I119" s="392">
        <f>636920-3582</f>
        <v>633338</v>
      </c>
      <c r="J119" s="399">
        <v>1.2</v>
      </c>
      <c r="K119" s="705"/>
      <c r="L119" s="80"/>
    </row>
    <row r="120" spans="1:12" ht="13.5" thickBot="1">
      <c r="A120" s="477"/>
      <c r="B120" s="424" t="s">
        <v>200</v>
      </c>
      <c r="C120" s="447">
        <f aca="true" t="shared" si="26" ref="C120:J120">SUM(C119:C119)</f>
        <v>2065676</v>
      </c>
      <c r="D120" s="446">
        <f t="shared" si="26"/>
        <v>1176400</v>
      </c>
      <c r="E120" s="425">
        <f t="shared" si="26"/>
        <v>716400</v>
      </c>
      <c r="F120" s="425">
        <f t="shared" si="26"/>
        <v>460000</v>
      </c>
      <c r="G120" s="425">
        <f t="shared" si="26"/>
        <v>245192</v>
      </c>
      <c r="H120" s="425">
        <f t="shared" si="26"/>
        <v>10746</v>
      </c>
      <c r="I120" s="425">
        <f t="shared" si="26"/>
        <v>633338</v>
      </c>
      <c r="J120" s="432">
        <f t="shared" si="26"/>
        <v>1.2</v>
      </c>
      <c r="K120" s="722"/>
      <c r="L120" s="80"/>
    </row>
    <row r="121" spans="1:12" ht="13.5" thickBot="1">
      <c r="A121" s="477"/>
      <c r="B121" s="574" t="s">
        <v>75</v>
      </c>
      <c r="C121" s="575">
        <f aca="true" t="shared" si="27" ref="C121:J121">SUM(C113+C120)</f>
        <v>5118377</v>
      </c>
      <c r="D121" s="562">
        <f t="shared" si="27"/>
        <v>3270900</v>
      </c>
      <c r="E121" s="562">
        <f t="shared" si="27"/>
        <v>1716400</v>
      </c>
      <c r="F121" s="562">
        <f t="shared" si="27"/>
        <v>1554500</v>
      </c>
      <c r="G121" s="562">
        <f t="shared" si="27"/>
        <v>618792</v>
      </c>
      <c r="H121" s="562">
        <f t="shared" si="27"/>
        <v>20746</v>
      </c>
      <c r="I121" s="562">
        <f t="shared" si="27"/>
        <v>1207939</v>
      </c>
      <c r="J121" s="563">
        <f t="shared" si="27"/>
        <v>5</v>
      </c>
      <c r="K121" s="707"/>
      <c r="L121" s="80"/>
    </row>
    <row r="122" spans="1:12" ht="12.75">
      <c r="A122" s="477"/>
      <c r="B122" s="576"/>
      <c r="C122" s="577">
        <f>D122+G122+H122+I122</f>
        <v>0</v>
      </c>
      <c r="D122" s="578">
        <f>SUM(E122+F122)</f>
        <v>0</v>
      </c>
      <c r="E122" s="578"/>
      <c r="F122" s="578"/>
      <c r="G122" s="578"/>
      <c r="H122" s="578"/>
      <c r="I122" s="578"/>
      <c r="J122" s="579"/>
      <c r="K122" s="723"/>
      <c r="L122" s="80"/>
    </row>
    <row r="123" spans="1:12" ht="13.5" thickBot="1">
      <c r="A123" s="477"/>
      <c r="B123" s="574" t="s">
        <v>151</v>
      </c>
      <c r="C123" s="575">
        <f aca="true" t="shared" si="28" ref="C123:J123">C111+C121+C122</f>
        <v>6968841</v>
      </c>
      <c r="D123" s="562">
        <f t="shared" si="28"/>
        <v>3687540</v>
      </c>
      <c r="E123" s="562">
        <f t="shared" si="28"/>
        <v>2133040</v>
      </c>
      <c r="F123" s="562">
        <f t="shared" si="28"/>
        <v>1554500</v>
      </c>
      <c r="G123" s="562">
        <f t="shared" si="28"/>
        <v>760450</v>
      </c>
      <c r="H123" s="562">
        <f t="shared" si="28"/>
        <v>26996</v>
      </c>
      <c r="I123" s="562">
        <f t="shared" si="28"/>
        <v>2493855</v>
      </c>
      <c r="J123" s="563">
        <f t="shared" si="28"/>
        <v>6</v>
      </c>
      <c r="K123" s="707"/>
      <c r="L123" s="80"/>
    </row>
  </sheetData>
  <sheetProtection/>
  <mergeCells count="6">
    <mergeCell ref="E7:E8"/>
    <mergeCell ref="B3:K3"/>
    <mergeCell ref="D6:D8"/>
    <mergeCell ref="F7:F8"/>
    <mergeCell ref="E6:F6"/>
    <mergeCell ref="I6:I8"/>
  </mergeCells>
  <printOptions horizontalCentered="1"/>
  <pageMargins left="0" right="0" top="0.5905511811023623" bottom="0.1968503937007874" header="0.5118110236220472" footer="0.31496062992125984"/>
  <pageSetup fitToHeight="1" fitToWidth="1" horizontalDpi="300" verticalDpi="300" orientation="portrait" paperSize="8" scale="6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O56"/>
  <sheetViews>
    <sheetView tabSelected="1" zoomScale="85" zoomScaleNormal="85" zoomScalePageLayoutView="0" workbookViewId="0" topLeftCell="A3">
      <selection activeCell="H9" sqref="H9"/>
    </sheetView>
  </sheetViews>
  <sheetFormatPr defaultColWidth="9.00390625" defaultRowHeight="12.75"/>
  <cols>
    <col min="1" max="1" width="3.00390625" style="0" customWidth="1"/>
    <col min="2" max="2" width="7.75390625" style="0" customWidth="1"/>
    <col min="3" max="3" width="11.875" style="0" customWidth="1"/>
    <col min="4" max="4" width="3.625" style="0" customWidth="1"/>
    <col min="5" max="5" width="12.25390625" style="0" customWidth="1"/>
    <col min="6" max="7" width="11.25390625" style="0" customWidth="1"/>
    <col min="8" max="8" width="11.25390625" style="0" bestFit="1" customWidth="1"/>
    <col min="9" max="9" width="10.75390625" style="0" customWidth="1"/>
    <col min="10" max="10" width="12.375" style="0" customWidth="1"/>
    <col min="11" max="11" width="11.25390625" style="0" bestFit="1" customWidth="1"/>
    <col min="12" max="12" width="10.375" style="0" customWidth="1"/>
    <col min="13" max="13" width="13.25390625" style="0" customWidth="1"/>
  </cols>
  <sheetData>
    <row r="1" ht="18">
      <c r="M1" s="56" t="s">
        <v>35</v>
      </c>
    </row>
    <row r="2" ht="15.75">
      <c r="M2" s="27"/>
    </row>
    <row r="3" spans="1:13" ht="34.5" customHeight="1">
      <c r="A3" s="781" t="s">
        <v>251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</row>
    <row r="5" ht="13.5" thickBot="1">
      <c r="M5" t="s">
        <v>115</v>
      </c>
    </row>
    <row r="6" spans="1:13" ht="68.25" customHeight="1" thickBot="1">
      <c r="A6" s="769" t="s">
        <v>53</v>
      </c>
      <c r="B6" s="770"/>
      <c r="C6" s="771"/>
      <c r="D6" s="49" t="s">
        <v>28</v>
      </c>
      <c r="E6" s="32" t="s">
        <v>19</v>
      </c>
      <c r="F6" s="76" t="s">
        <v>98</v>
      </c>
      <c r="G6" s="76" t="s">
        <v>99</v>
      </c>
      <c r="H6" s="76" t="s">
        <v>85</v>
      </c>
      <c r="I6" s="77" t="s">
        <v>20</v>
      </c>
      <c r="J6" s="77" t="s">
        <v>59</v>
      </c>
      <c r="K6" s="33" t="s">
        <v>60</v>
      </c>
      <c r="L6" s="33" t="s">
        <v>40</v>
      </c>
      <c r="M6" s="34" t="s">
        <v>36</v>
      </c>
    </row>
    <row r="7" spans="1:13" ht="12.75">
      <c r="A7" s="42" t="s">
        <v>96</v>
      </c>
      <c r="B7" s="6"/>
      <c r="C7" s="6"/>
      <c r="D7" s="783" t="s">
        <v>38</v>
      </c>
      <c r="E7" s="212">
        <f aca="true" t="shared" si="0" ref="E7:L7">E8+E9</f>
        <v>28373527</v>
      </c>
      <c r="F7" s="213">
        <f t="shared" si="0"/>
        <v>63112124</v>
      </c>
      <c r="G7" s="213">
        <f t="shared" si="0"/>
        <v>32980505</v>
      </c>
      <c r="H7" s="213">
        <f t="shared" si="0"/>
        <v>121929282</v>
      </c>
      <c r="I7" s="213">
        <f t="shared" si="0"/>
        <v>6981000</v>
      </c>
      <c r="J7" s="213">
        <f t="shared" si="0"/>
        <v>121163479</v>
      </c>
      <c r="K7" s="212">
        <f>K8+K9</f>
        <v>190371696</v>
      </c>
      <c r="L7" s="212">
        <f t="shared" si="0"/>
        <v>6321958</v>
      </c>
      <c r="M7" s="46">
        <f>SUM(E7:L7)</f>
        <v>571233571</v>
      </c>
    </row>
    <row r="8" spans="1:13" ht="12.75">
      <c r="A8" s="28" t="s">
        <v>97</v>
      </c>
      <c r="B8" s="36"/>
      <c r="C8" s="36"/>
      <c r="D8" s="784"/>
      <c r="E8" s="199">
        <v>5295000</v>
      </c>
      <c r="F8" s="199">
        <v>2795000</v>
      </c>
      <c r="G8" s="199">
        <v>2350000</v>
      </c>
      <c r="H8" s="199">
        <v>14994000</v>
      </c>
      <c r="I8" s="199">
        <v>335000</v>
      </c>
      <c r="J8" s="199">
        <v>50880000</v>
      </c>
      <c r="K8" s="199">
        <v>7185000</v>
      </c>
      <c r="L8" s="199">
        <v>1262910</v>
      </c>
      <c r="M8" s="47">
        <f aca="true" t="shared" si="1" ref="M8:M27">SUM(E8:L8)</f>
        <v>85096910</v>
      </c>
    </row>
    <row r="9" spans="1:13" ht="12.75">
      <c r="A9" s="28" t="s">
        <v>55</v>
      </c>
      <c r="B9" s="36"/>
      <c r="C9" s="36"/>
      <c r="D9" s="784"/>
      <c r="E9" s="214">
        <f>'T4bil'!$C11</f>
        <v>23078527</v>
      </c>
      <c r="F9" s="214">
        <f>'T4bil'!$C12</f>
        <v>60317124</v>
      </c>
      <c r="G9" s="214">
        <f>'T4bil'!$C13</f>
        <v>30630505</v>
      </c>
      <c r="H9" s="214">
        <f>'T4bil'!$C14</f>
        <v>106935282</v>
      </c>
      <c r="I9" s="214">
        <f>'T4bil'!$C15</f>
        <v>6646000</v>
      </c>
      <c r="J9" s="214">
        <f>'T4bil'!$C16</f>
        <v>70283479</v>
      </c>
      <c r="K9" s="214">
        <f>'T4bil'!$C17</f>
        <v>183186696</v>
      </c>
      <c r="L9" s="214">
        <f>'T4bil'!$C18</f>
        <v>5059048</v>
      </c>
      <c r="M9" s="215">
        <f>SUM(E9:L9)</f>
        <v>486136661</v>
      </c>
    </row>
    <row r="10" spans="1:13" ht="12.75">
      <c r="A10" s="778" t="s">
        <v>3</v>
      </c>
      <c r="B10" s="37" t="s">
        <v>23</v>
      </c>
      <c r="C10" s="38"/>
      <c r="D10" s="784"/>
      <c r="E10" s="208">
        <f aca="true" t="shared" si="2" ref="E10:L10">E11+E12</f>
        <v>11576005</v>
      </c>
      <c r="F10" s="208">
        <f t="shared" si="2"/>
        <v>36531346</v>
      </c>
      <c r="G10" s="208">
        <f>G11+G12</f>
        <v>16301987</v>
      </c>
      <c r="H10" s="208">
        <f t="shared" si="2"/>
        <v>40077034</v>
      </c>
      <c r="I10" s="208">
        <f t="shared" si="2"/>
        <v>0</v>
      </c>
      <c r="J10" s="208">
        <f t="shared" si="2"/>
        <v>45922273</v>
      </c>
      <c r="K10" s="208">
        <f>K11+K12</f>
        <v>55058062</v>
      </c>
      <c r="L10" s="208">
        <f t="shared" si="2"/>
        <v>2892545</v>
      </c>
      <c r="M10" s="47">
        <f t="shared" si="1"/>
        <v>208359252</v>
      </c>
    </row>
    <row r="11" spans="1:13" ht="12.75">
      <c r="A11" s="779"/>
      <c r="B11" s="768" t="s">
        <v>3</v>
      </c>
      <c r="C11" s="29" t="s">
        <v>1</v>
      </c>
      <c r="D11" s="784"/>
      <c r="E11" s="216">
        <f>'T4bil'!$E11</f>
        <v>10820005</v>
      </c>
      <c r="F11" s="179">
        <f>'T4bil'!$E12</f>
        <v>33161346</v>
      </c>
      <c r="G11" s="179">
        <f>'T4bil'!$E13</f>
        <v>14829987</v>
      </c>
      <c r="H11" s="179">
        <f>'T4bil'!$E14</f>
        <v>39737034</v>
      </c>
      <c r="I11" s="179">
        <f>'T4bil'!$E15</f>
        <v>0</v>
      </c>
      <c r="J11" s="179">
        <f>'T4bil'!$E16</f>
        <v>32738273</v>
      </c>
      <c r="K11" s="179">
        <f>'T4bil'!$E17</f>
        <v>24007572</v>
      </c>
      <c r="L11" s="179">
        <f>'T4bil'!$E18</f>
        <v>2002545</v>
      </c>
      <c r="M11" s="47">
        <f t="shared" si="1"/>
        <v>157296762</v>
      </c>
    </row>
    <row r="12" spans="1:13" ht="12.75">
      <c r="A12" s="779"/>
      <c r="B12" s="746"/>
      <c r="C12" s="39" t="s">
        <v>2</v>
      </c>
      <c r="D12" s="784"/>
      <c r="E12" s="217">
        <f>'T4bil'!$F11</f>
        <v>756000</v>
      </c>
      <c r="F12" s="179">
        <f>'T4bil'!$F12</f>
        <v>3370000</v>
      </c>
      <c r="G12" s="179">
        <f>'T4bil'!$F13</f>
        <v>1472000</v>
      </c>
      <c r="H12" s="179">
        <f>'T4bil'!$F14</f>
        <v>340000</v>
      </c>
      <c r="I12" s="179">
        <f>'T4bil'!$F15</f>
        <v>0</v>
      </c>
      <c r="J12" s="179">
        <f>'T4bil'!$F16</f>
        <v>13184000</v>
      </c>
      <c r="K12" s="179">
        <f>'T4bil'!$F17</f>
        <v>31050490</v>
      </c>
      <c r="L12" s="179">
        <f>'T4bil'!$F18</f>
        <v>890000</v>
      </c>
      <c r="M12" s="47">
        <f t="shared" si="1"/>
        <v>51062490</v>
      </c>
    </row>
    <row r="13" spans="1:13" ht="12.75">
      <c r="A13" s="779"/>
      <c r="B13" s="40" t="s">
        <v>56</v>
      </c>
      <c r="C13" s="41"/>
      <c r="D13" s="784"/>
      <c r="E13" s="216">
        <f>'T4bil'!$G11</f>
        <v>3935842</v>
      </c>
      <c r="F13" s="218">
        <f>'T4bil'!$G12</f>
        <v>12420658</v>
      </c>
      <c r="G13" s="218">
        <f>'T4bil'!$G13</f>
        <v>5481735</v>
      </c>
      <c r="H13" s="218">
        <f>'T4bil'!$G14</f>
        <v>13626192</v>
      </c>
      <c r="I13" s="218">
        <f>'T4bil'!$G15</f>
        <v>0</v>
      </c>
      <c r="J13" s="218">
        <f>'T4bil'!$G16</f>
        <v>12616183</v>
      </c>
      <c r="K13" s="218">
        <f>'T4bil'!$G17</f>
        <v>18719741</v>
      </c>
      <c r="L13" s="218">
        <f>'T4bil'!$G18</f>
        <v>983465</v>
      </c>
      <c r="M13" s="47">
        <f t="shared" si="1"/>
        <v>67783816</v>
      </c>
    </row>
    <row r="14" spans="1:15" ht="12.75">
      <c r="A14" s="779"/>
      <c r="B14" s="40" t="s">
        <v>24</v>
      </c>
      <c r="C14" s="36"/>
      <c r="D14" s="784"/>
      <c r="E14" s="216">
        <f>'T4bil'!$H11</f>
        <v>162300</v>
      </c>
      <c r="F14" s="216">
        <f>'T4bil'!$H12</f>
        <v>497420</v>
      </c>
      <c r="G14" s="216">
        <f>'T4bil'!$H13</f>
        <v>222450</v>
      </c>
      <c r="H14" s="216">
        <f>'T4bil'!$H14</f>
        <v>596056</v>
      </c>
      <c r="I14" s="216">
        <f>'T4bil'!$H15</f>
        <v>0</v>
      </c>
      <c r="J14" s="216">
        <f>'T4bil'!$H16</f>
        <v>491074</v>
      </c>
      <c r="K14" s="216">
        <f>'T4bil'!$H17</f>
        <v>360114</v>
      </c>
      <c r="L14" s="216">
        <f>'T4bil'!$H18</f>
        <v>30038</v>
      </c>
      <c r="M14" s="47">
        <f t="shared" si="1"/>
        <v>2359452</v>
      </c>
      <c r="O14" s="67"/>
    </row>
    <row r="15" spans="1:13" ht="12.75">
      <c r="A15" s="780"/>
      <c r="B15" s="40" t="s">
        <v>7</v>
      </c>
      <c r="C15" s="36"/>
      <c r="D15" s="784"/>
      <c r="E15" s="219">
        <f aca="true" t="shared" si="3" ref="E15:L15">E9-E10-E13-E14</f>
        <v>7404380</v>
      </c>
      <c r="F15" s="220">
        <f t="shared" si="3"/>
        <v>10867700</v>
      </c>
      <c r="G15" s="220">
        <f t="shared" si="3"/>
        <v>8624333</v>
      </c>
      <c r="H15" s="220">
        <f t="shared" si="3"/>
        <v>52636000</v>
      </c>
      <c r="I15" s="220">
        <f t="shared" si="3"/>
        <v>6646000</v>
      </c>
      <c r="J15" s="220">
        <f t="shared" si="3"/>
        <v>11253949</v>
      </c>
      <c r="K15" s="220">
        <f t="shared" si="3"/>
        <v>109048779</v>
      </c>
      <c r="L15" s="220">
        <f t="shared" si="3"/>
        <v>1153000</v>
      </c>
      <c r="M15" s="47">
        <f>SUM(E15:L15)</f>
        <v>207634141</v>
      </c>
    </row>
    <row r="16" spans="1:13" ht="13.5" thickBot="1">
      <c r="A16" s="26" t="s">
        <v>9</v>
      </c>
      <c r="B16" s="68"/>
      <c r="C16" s="69"/>
      <c r="D16" s="784"/>
      <c r="E16" s="71">
        <f>'T4bil'!J11</f>
        <v>36.9</v>
      </c>
      <c r="F16" s="72">
        <f>'T4bil'!J12</f>
        <v>103.8</v>
      </c>
      <c r="G16" s="72">
        <f>'T4bil'!J13</f>
        <v>44.24</v>
      </c>
      <c r="H16" s="72">
        <f>'T4bil'!J14</f>
        <v>145.39</v>
      </c>
      <c r="I16" s="72">
        <f>'T4bil'!J15</f>
        <v>0</v>
      </c>
      <c r="J16" s="72">
        <f>'T4bil'!J16</f>
        <v>103.18</v>
      </c>
      <c r="K16" s="72">
        <f>'T4bil'!J17</f>
        <v>70</v>
      </c>
      <c r="L16" s="72">
        <f>'T4bil'!J18</f>
        <v>6</v>
      </c>
      <c r="M16" s="70">
        <f t="shared" si="1"/>
        <v>509.51</v>
      </c>
    </row>
    <row r="17" spans="1:13" ht="13.5" thickTop="1">
      <c r="A17" s="75" t="s">
        <v>94</v>
      </c>
      <c r="B17" s="73"/>
      <c r="C17" s="74"/>
      <c r="D17" s="784"/>
      <c r="E17" s="194">
        <v>2000000</v>
      </c>
      <c r="F17" s="221">
        <v>0</v>
      </c>
      <c r="G17" s="221">
        <v>1000000</v>
      </c>
      <c r="H17" s="221">
        <v>0</v>
      </c>
      <c r="I17" s="221">
        <v>0</v>
      </c>
      <c r="J17" s="221">
        <v>7800000</v>
      </c>
      <c r="K17" s="221">
        <v>7000000</v>
      </c>
      <c r="L17" s="221">
        <v>100000</v>
      </c>
      <c r="M17" s="50">
        <f t="shared" si="1"/>
        <v>17900000</v>
      </c>
    </row>
    <row r="18" spans="1:13" ht="13.5" thickBot="1">
      <c r="A18" s="54" t="s">
        <v>57</v>
      </c>
      <c r="B18" s="30"/>
      <c r="C18" s="30"/>
      <c r="D18" s="785"/>
      <c r="E18" s="222"/>
      <c r="F18" s="223"/>
      <c r="G18" s="223"/>
      <c r="H18" s="223"/>
      <c r="I18" s="223"/>
      <c r="J18" s="223"/>
      <c r="K18" s="223"/>
      <c r="L18" s="223"/>
      <c r="M18" s="55">
        <f t="shared" si="1"/>
        <v>0</v>
      </c>
    </row>
    <row r="19" spans="1:13" ht="12.75" hidden="1">
      <c r="A19" s="18" t="s">
        <v>54</v>
      </c>
      <c r="B19" s="35"/>
      <c r="C19" s="35"/>
      <c r="D19" s="776" t="s">
        <v>72</v>
      </c>
      <c r="E19" s="199"/>
      <c r="F19" s="199"/>
      <c r="G19" s="199"/>
      <c r="H19" s="199">
        <f>H20+H21+H22</f>
        <v>0</v>
      </c>
      <c r="I19" s="199"/>
      <c r="J19" s="199">
        <f>J20+J21+J22</f>
        <v>0</v>
      </c>
      <c r="K19" s="199"/>
      <c r="L19" s="199"/>
      <c r="M19" s="50">
        <f t="shared" si="1"/>
        <v>0</v>
      </c>
    </row>
    <row r="20" spans="1:13" ht="12.75" hidden="1">
      <c r="A20" s="28" t="s">
        <v>8</v>
      </c>
      <c r="B20" s="36"/>
      <c r="C20" s="36"/>
      <c r="D20" s="776"/>
      <c r="E20" s="220"/>
      <c r="F20" s="199"/>
      <c r="G20" s="199"/>
      <c r="H20" s="220"/>
      <c r="I20" s="199"/>
      <c r="J20" s="220"/>
      <c r="K20" s="220"/>
      <c r="L20" s="199"/>
      <c r="M20" s="47">
        <f t="shared" si="1"/>
        <v>0</v>
      </c>
    </row>
    <row r="21" spans="1:13" ht="14.25" customHeight="1" hidden="1">
      <c r="A21" s="774" t="s">
        <v>58</v>
      </c>
      <c r="B21" s="775"/>
      <c r="C21" s="775"/>
      <c r="D21" s="776"/>
      <c r="E21" s="199"/>
      <c r="F21" s="199"/>
      <c r="G21" s="199"/>
      <c r="H21" s="220"/>
      <c r="I21" s="199"/>
      <c r="J21" s="220"/>
      <c r="K21" s="220"/>
      <c r="L21" s="199"/>
      <c r="M21" s="47">
        <f t="shared" si="1"/>
        <v>0</v>
      </c>
    </row>
    <row r="22" spans="1:13" ht="12.75" hidden="1">
      <c r="A22" s="28" t="s">
        <v>55</v>
      </c>
      <c r="B22" s="36"/>
      <c r="C22" s="36"/>
      <c r="D22" s="776"/>
      <c r="E22" s="199"/>
      <c r="F22" s="199"/>
      <c r="G22" s="199"/>
      <c r="H22" s="199">
        <f>'T4bil'!$C28</f>
        <v>0</v>
      </c>
      <c r="I22" s="199"/>
      <c r="J22" s="199">
        <f>'T4bil'!C27</f>
        <v>0</v>
      </c>
      <c r="K22" s="199"/>
      <c r="L22" s="199"/>
      <c r="M22" s="47">
        <f t="shared" si="1"/>
        <v>0</v>
      </c>
    </row>
    <row r="23" spans="1:13" ht="12.75" hidden="1">
      <c r="A23" s="778" t="s">
        <v>3</v>
      </c>
      <c r="B23" s="37" t="s">
        <v>23</v>
      </c>
      <c r="C23" s="38"/>
      <c r="D23" s="776"/>
      <c r="E23" s="199"/>
      <c r="F23" s="199"/>
      <c r="G23" s="199"/>
      <c r="H23" s="199">
        <f>H24+H25</f>
        <v>0</v>
      </c>
      <c r="I23" s="199"/>
      <c r="J23" s="199">
        <f>J24+J25</f>
        <v>0</v>
      </c>
      <c r="K23" s="199"/>
      <c r="L23" s="199"/>
      <c r="M23" s="47">
        <f t="shared" si="1"/>
        <v>0</v>
      </c>
    </row>
    <row r="24" spans="1:13" ht="12.75" hidden="1">
      <c r="A24" s="779"/>
      <c r="B24" s="768" t="s">
        <v>3</v>
      </c>
      <c r="C24" s="29" t="s">
        <v>1</v>
      </c>
      <c r="D24" s="776"/>
      <c r="E24" s="179"/>
      <c r="F24" s="199"/>
      <c r="G24" s="199"/>
      <c r="H24" s="179">
        <f>'T4bil'!E28</f>
        <v>0</v>
      </c>
      <c r="I24" s="199"/>
      <c r="J24" s="199">
        <f>'T4bil'!E27</f>
        <v>0</v>
      </c>
      <c r="K24" s="199"/>
      <c r="L24" s="199"/>
      <c r="M24" s="47">
        <f t="shared" si="1"/>
        <v>0</v>
      </c>
    </row>
    <row r="25" spans="1:13" ht="12.75" hidden="1">
      <c r="A25" s="779"/>
      <c r="B25" s="746"/>
      <c r="C25" s="39" t="s">
        <v>2</v>
      </c>
      <c r="D25" s="776"/>
      <c r="E25" s="179"/>
      <c r="F25" s="199"/>
      <c r="G25" s="199"/>
      <c r="H25" s="179">
        <f>'T4bil'!F28</f>
        <v>0</v>
      </c>
      <c r="I25" s="199"/>
      <c r="J25" s="199">
        <f>'T4bil'!F27</f>
        <v>0</v>
      </c>
      <c r="K25" s="199"/>
      <c r="L25" s="199"/>
      <c r="M25" s="47">
        <f t="shared" si="1"/>
        <v>0</v>
      </c>
    </row>
    <row r="26" spans="1:13" ht="12.75" hidden="1">
      <c r="A26" s="779"/>
      <c r="B26" s="40" t="s">
        <v>56</v>
      </c>
      <c r="C26" s="41"/>
      <c r="D26" s="776"/>
      <c r="E26" s="179"/>
      <c r="F26" s="199"/>
      <c r="G26" s="199"/>
      <c r="H26" s="199">
        <f>('T4bil'!G28-H27)</f>
        <v>0</v>
      </c>
      <c r="I26" s="199"/>
      <c r="J26" s="199">
        <f>('T4bil'!G27-J27)</f>
        <v>0</v>
      </c>
      <c r="K26" s="199"/>
      <c r="L26" s="199"/>
      <c r="M26" s="47">
        <f t="shared" si="1"/>
        <v>0</v>
      </c>
    </row>
    <row r="27" spans="1:13" ht="12.75" hidden="1">
      <c r="A27" s="779"/>
      <c r="B27" s="40" t="s">
        <v>24</v>
      </c>
      <c r="C27" s="36"/>
      <c r="D27" s="776"/>
      <c r="E27" s="218"/>
      <c r="F27" s="199"/>
      <c r="G27" s="199"/>
      <c r="H27" s="218">
        <f>H24*0.02</f>
        <v>0</v>
      </c>
      <c r="I27" s="218"/>
      <c r="J27" s="218">
        <f>J24*0.02</f>
        <v>0</v>
      </c>
      <c r="K27" s="218"/>
      <c r="L27" s="199"/>
      <c r="M27" s="47">
        <f t="shared" si="1"/>
        <v>0</v>
      </c>
    </row>
    <row r="28" spans="1:13" ht="12.75" hidden="1">
      <c r="A28" s="780"/>
      <c r="B28" s="40" t="s">
        <v>7</v>
      </c>
      <c r="C28" s="36"/>
      <c r="D28" s="776"/>
      <c r="E28" s="199"/>
      <c r="F28" s="199"/>
      <c r="G28" s="199"/>
      <c r="H28" s="199">
        <f>H22-H23-H26-H27</f>
        <v>0</v>
      </c>
      <c r="I28" s="199"/>
      <c r="J28" s="199">
        <f>J22-J23-J26-J27</f>
        <v>0</v>
      </c>
      <c r="K28" s="199"/>
      <c r="L28" s="199"/>
      <c r="M28" s="47">
        <f aca="true" t="shared" si="4" ref="M28:M53">SUM(E28:L28)</f>
        <v>0</v>
      </c>
    </row>
    <row r="29" spans="1:13" ht="13.5" hidden="1" thickBot="1">
      <c r="A29" s="51" t="s">
        <v>9</v>
      </c>
      <c r="B29" s="52"/>
      <c r="C29" s="52"/>
      <c r="D29" s="777"/>
      <c r="E29" s="224"/>
      <c r="F29" s="224"/>
      <c r="G29" s="224"/>
      <c r="H29" s="224">
        <f>'T4bil'!J28</f>
        <v>0</v>
      </c>
      <c r="I29" s="224"/>
      <c r="J29" s="224">
        <f>'T4bil'!J27</f>
        <v>0</v>
      </c>
      <c r="K29" s="224"/>
      <c r="L29" s="224"/>
      <c r="M29" s="55">
        <f t="shared" si="4"/>
        <v>0</v>
      </c>
    </row>
    <row r="30" spans="1:13" ht="12.75">
      <c r="A30" s="18" t="s">
        <v>54</v>
      </c>
      <c r="B30" s="35"/>
      <c r="C30" s="35"/>
      <c r="D30" s="776" t="s">
        <v>81</v>
      </c>
      <c r="E30" s="199">
        <f>E31+E32+E33</f>
        <v>7651986</v>
      </c>
      <c r="F30" s="199">
        <f>F31+F32+F33</f>
        <v>387130</v>
      </c>
      <c r="G30" s="199"/>
      <c r="H30" s="199"/>
      <c r="I30" s="199"/>
      <c r="J30" s="199">
        <f>J31+J32+J33</f>
        <v>250000</v>
      </c>
      <c r="K30" s="199"/>
      <c r="L30" s="199"/>
      <c r="M30" s="50">
        <f t="shared" si="4"/>
        <v>8289116</v>
      </c>
    </row>
    <row r="31" spans="1:13" ht="12.75">
      <c r="A31" s="28" t="s">
        <v>8</v>
      </c>
      <c r="B31" s="36"/>
      <c r="C31" s="36"/>
      <c r="D31" s="776"/>
      <c r="E31" s="220"/>
      <c r="F31" s="220"/>
      <c r="G31" s="199"/>
      <c r="H31" s="220"/>
      <c r="I31" s="199"/>
      <c r="J31" s="199"/>
      <c r="K31" s="199"/>
      <c r="L31" s="199"/>
      <c r="M31" s="47">
        <f t="shared" si="4"/>
        <v>0</v>
      </c>
    </row>
    <row r="32" spans="1:13" ht="14.25" customHeight="1">
      <c r="A32" s="774" t="s">
        <v>58</v>
      </c>
      <c r="B32" s="775"/>
      <c r="C32" s="775"/>
      <c r="D32" s="776"/>
      <c r="E32" s="199"/>
      <c r="F32" s="199"/>
      <c r="G32" s="199"/>
      <c r="H32" s="220"/>
      <c r="I32" s="199"/>
      <c r="J32" s="199"/>
      <c r="K32" s="199"/>
      <c r="L32" s="199"/>
      <c r="M32" s="47">
        <f t="shared" si="4"/>
        <v>0</v>
      </c>
    </row>
    <row r="33" spans="1:13" ht="12.75">
      <c r="A33" s="28" t="s">
        <v>55</v>
      </c>
      <c r="B33" s="36"/>
      <c r="C33" s="36"/>
      <c r="D33" s="776"/>
      <c r="E33" s="199">
        <f>'T4bil'!C22</f>
        <v>7651986</v>
      </c>
      <c r="F33" s="199">
        <f>'T4bil'!C23</f>
        <v>387130</v>
      </c>
      <c r="G33" s="199"/>
      <c r="H33" s="199"/>
      <c r="I33" s="199"/>
      <c r="J33" s="199">
        <f>'T4bil'!C24</f>
        <v>250000</v>
      </c>
      <c r="K33" s="199"/>
      <c r="L33" s="199"/>
      <c r="M33" s="47">
        <f t="shared" si="4"/>
        <v>8289116</v>
      </c>
    </row>
    <row r="34" spans="1:13" ht="12.75">
      <c r="A34" s="778" t="s">
        <v>3</v>
      </c>
      <c r="B34" s="37" t="s">
        <v>23</v>
      </c>
      <c r="C34" s="38"/>
      <c r="D34" s="776"/>
      <c r="E34" s="199">
        <f>E35+E36</f>
        <v>5647222</v>
      </c>
      <c r="F34" s="199">
        <f>F35+F36</f>
        <v>288000</v>
      </c>
      <c r="G34" s="199"/>
      <c r="H34" s="199"/>
      <c r="I34" s="199"/>
      <c r="J34" s="225">
        <f>J35+J36</f>
        <v>250000</v>
      </c>
      <c r="K34" s="199"/>
      <c r="L34" s="199"/>
      <c r="M34" s="47">
        <f t="shared" si="4"/>
        <v>6185222</v>
      </c>
    </row>
    <row r="35" spans="1:13" ht="12.75">
      <c r="A35" s="779"/>
      <c r="B35" s="768" t="s">
        <v>3</v>
      </c>
      <c r="C35" s="29" t="s">
        <v>1</v>
      </c>
      <c r="D35" s="776"/>
      <c r="E35" s="179">
        <f>'T4bil'!E22</f>
        <v>5647222</v>
      </c>
      <c r="F35" s="179">
        <f>'T4bil'!E23</f>
        <v>0</v>
      </c>
      <c r="G35" s="199"/>
      <c r="H35" s="179"/>
      <c r="I35" s="199"/>
      <c r="J35" s="179">
        <f>'T4bil'!E23</f>
        <v>0</v>
      </c>
      <c r="K35" s="199"/>
      <c r="L35" s="199"/>
      <c r="M35" s="47">
        <f t="shared" si="4"/>
        <v>5647222</v>
      </c>
    </row>
    <row r="36" spans="1:13" ht="12.75">
      <c r="A36" s="779"/>
      <c r="B36" s="746"/>
      <c r="C36" s="39" t="s">
        <v>2</v>
      </c>
      <c r="D36" s="776"/>
      <c r="E36" s="179">
        <f>'T4bil'!F22</f>
        <v>0</v>
      </c>
      <c r="F36" s="179">
        <f>'T4bil'!F23</f>
        <v>288000</v>
      </c>
      <c r="G36" s="199"/>
      <c r="H36" s="179"/>
      <c r="I36" s="199"/>
      <c r="J36" s="179">
        <f>'T4bil'!F24</f>
        <v>250000</v>
      </c>
      <c r="K36" s="199"/>
      <c r="L36" s="199"/>
      <c r="M36" s="47">
        <f t="shared" si="4"/>
        <v>538000</v>
      </c>
    </row>
    <row r="37" spans="1:13" ht="12.75">
      <c r="A37" s="779"/>
      <c r="B37" s="40" t="s">
        <v>56</v>
      </c>
      <c r="C37" s="41"/>
      <c r="D37" s="776"/>
      <c r="E37" s="179">
        <f>'T4bil'!G22</f>
        <v>1920056</v>
      </c>
      <c r="F37" s="179">
        <f>'T4bil'!G23</f>
        <v>99130</v>
      </c>
      <c r="G37" s="199"/>
      <c r="H37" s="199"/>
      <c r="I37" s="199"/>
      <c r="J37" s="179">
        <f>'T4bil'!G24</f>
        <v>0</v>
      </c>
      <c r="K37" s="199"/>
      <c r="L37" s="199"/>
      <c r="M37" s="47">
        <f t="shared" si="4"/>
        <v>2019186</v>
      </c>
    </row>
    <row r="38" spans="1:13" ht="12.75">
      <c r="A38" s="779"/>
      <c r="B38" s="40" t="s">
        <v>24</v>
      </c>
      <c r="C38" s="36"/>
      <c r="D38" s="776"/>
      <c r="E38" s="179">
        <f>'T4bil'!H22</f>
        <v>84708</v>
      </c>
      <c r="F38" s="179">
        <f>'T4bil'!H23</f>
        <v>0</v>
      </c>
      <c r="G38" s="199"/>
      <c r="H38" s="218"/>
      <c r="I38" s="199"/>
      <c r="J38" s="179">
        <f>'T4bil'!H24</f>
        <v>0</v>
      </c>
      <c r="K38" s="199"/>
      <c r="L38" s="199"/>
      <c r="M38" s="47">
        <f t="shared" si="4"/>
        <v>84708</v>
      </c>
    </row>
    <row r="39" spans="1:13" ht="12.75">
      <c r="A39" s="780"/>
      <c r="B39" s="40" t="s">
        <v>7</v>
      </c>
      <c r="C39" s="36"/>
      <c r="D39" s="776"/>
      <c r="E39" s="179">
        <f>'T4bil'!I22</f>
        <v>0</v>
      </c>
      <c r="F39" s="179">
        <f>'T4bil'!I23</f>
        <v>0</v>
      </c>
      <c r="G39" s="199"/>
      <c r="H39" s="199"/>
      <c r="I39" s="199"/>
      <c r="J39" s="179">
        <f>'T4bil'!I24</f>
        <v>0</v>
      </c>
      <c r="K39" s="199"/>
      <c r="L39" s="199"/>
      <c r="M39" s="47">
        <f t="shared" si="4"/>
        <v>0</v>
      </c>
    </row>
    <row r="40" spans="1:13" ht="13.5" thickBot="1">
      <c r="A40" s="51" t="s">
        <v>9</v>
      </c>
      <c r="B40" s="52"/>
      <c r="C40" s="52"/>
      <c r="D40" s="777"/>
      <c r="E40" s="57">
        <f>'T4bil'!J22</f>
        <v>16</v>
      </c>
      <c r="F40" s="57">
        <f>'T4bil'!J23</f>
        <v>0</v>
      </c>
      <c r="G40" s="57"/>
      <c r="H40" s="57"/>
      <c r="I40" s="57"/>
      <c r="J40" s="57">
        <f>'T4bil'!J24</f>
        <v>0</v>
      </c>
      <c r="K40" s="57"/>
      <c r="L40" s="57"/>
      <c r="M40" s="53">
        <f t="shared" si="4"/>
        <v>16</v>
      </c>
    </row>
    <row r="41" spans="1:13" ht="12.75">
      <c r="A41" s="18" t="s">
        <v>96</v>
      </c>
      <c r="B41" s="35"/>
      <c r="C41" s="35"/>
      <c r="D41" s="772" t="s">
        <v>66</v>
      </c>
      <c r="E41" s="208">
        <f>E7+E19+E30</f>
        <v>36025513</v>
      </c>
      <c r="F41" s="208">
        <f aca="true" t="shared" si="5" ref="F41:L41">F7+F19+F30</f>
        <v>63499254</v>
      </c>
      <c r="G41" s="208">
        <f t="shared" si="5"/>
        <v>32980505</v>
      </c>
      <c r="H41" s="208">
        <f t="shared" si="5"/>
        <v>121929282</v>
      </c>
      <c r="I41" s="208">
        <f t="shared" si="5"/>
        <v>6981000</v>
      </c>
      <c r="J41" s="208">
        <f t="shared" si="5"/>
        <v>121413479</v>
      </c>
      <c r="K41" s="208">
        <f t="shared" si="5"/>
        <v>190371696</v>
      </c>
      <c r="L41" s="208">
        <f t="shared" si="5"/>
        <v>6321958</v>
      </c>
      <c r="M41" s="50">
        <f>SUM(E41:L41)</f>
        <v>579522687</v>
      </c>
    </row>
    <row r="42" spans="1:13" ht="12.75">
      <c r="A42" s="28" t="s">
        <v>97</v>
      </c>
      <c r="B42" s="36"/>
      <c r="C42" s="36"/>
      <c r="D42" s="772"/>
      <c r="E42" s="219">
        <f>E8+E20+E31</f>
        <v>5295000</v>
      </c>
      <c r="F42" s="219">
        <f aca="true" t="shared" si="6" ref="F42:L42">F8+F20+F31</f>
        <v>2795000</v>
      </c>
      <c r="G42" s="219">
        <f t="shared" si="6"/>
        <v>2350000</v>
      </c>
      <c r="H42" s="219">
        <f t="shared" si="6"/>
        <v>14994000</v>
      </c>
      <c r="I42" s="219">
        <f t="shared" si="6"/>
        <v>335000</v>
      </c>
      <c r="J42" s="219">
        <f t="shared" si="6"/>
        <v>50880000</v>
      </c>
      <c r="K42" s="219">
        <f t="shared" si="6"/>
        <v>7185000</v>
      </c>
      <c r="L42" s="219">
        <f t="shared" si="6"/>
        <v>1262910</v>
      </c>
      <c r="M42" s="47">
        <f t="shared" si="4"/>
        <v>85096910</v>
      </c>
    </row>
    <row r="43" spans="1:13" ht="14.25" customHeight="1">
      <c r="A43" s="774" t="s">
        <v>58</v>
      </c>
      <c r="B43" s="775"/>
      <c r="C43" s="775"/>
      <c r="D43" s="772"/>
      <c r="E43" s="219">
        <f>E21+E32</f>
        <v>0</v>
      </c>
      <c r="F43" s="219">
        <f aca="true" t="shared" si="7" ref="F43:L43">F21+F32</f>
        <v>0</v>
      </c>
      <c r="G43" s="219">
        <f t="shared" si="7"/>
        <v>0</v>
      </c>
      <c r="H43" s="219">
        <f t="shared" si="7"/>
        <v>0</v>
      </c>
      <c r="I43" s="219">
        <f t="shared" si="7"/>
        <v>0</v>
      </c>
      <c r="J43" s="219">
        <f t="shared" si="7"/>
        <v>0</v>
      </c>
      <c r="K43" s="219">
        <f t="shared" si="7"/>
        <v>0</v>
      </c>
      <c r="L43" s="219">
        <f t="shared" si="7"/>
        <v>0</v>
      </c>
      <c r="M43" s="47">
        <f t="shared" si="4"/>
        <v>0</v>
      </c>
    </row>
    <row r="44" spans="1:13" ht="12.75">
      <c r="A44" s="28" t="s">
        <v>55</v>
      </c>
      <c r="B44" s="36"/>
      <c r="C44" s="36"/>
      <c r="D44" s="772"/>
      <c r="E44" s="219">
        <f aca="true" t="shared" si="8" ref="E44:E51">E9+E22+E33</f>
        <v>30730513</v>
      </c>
      <c r="F44" s="219">
        <f aca="true" t="shared" si="9" ref="F44:L44">F9+F22+F33</f>
        <v>60704254</v>
      </c>
      <c r="G44" s="219">
        <f t="shared" si="9"/>
        <v>30630505</v>
      </c>
      <c r="H44" s="219">
        <f t="shared" si="9"/>
        <v>106935282</v>
      </c>
      <c r="I44" s="219">
        <f t="shared" si="9"/>
        <v>6646000</v>
      </c>
      <c r="J44" s="219">
        <f t="shared" si="9"/>
        <v>70533479</v>
      </c>
      <c r="K44" s="219">
        <f t="shared" si="9"/>
        <v>183186696</v>
      </c>
      <c r="L44" s="219">
        <f t="shared" si="9"/>
        <v>5059048</v>
      </c>
      <c r="M44" s="47">
        <f>SUM(E44:L44)</f>
        <v>494425777</v>
      </c>
    </row>
    <row r="45" spans="1:13" ht="12.75">
      <c r="A45" s="778" t="s">
        <v>3</v>
      </c>
      <c r="B45" s="37" t="s">
        <v>23</v>
      </c>
      <c r="C45" s="38"/>
      <c r="D45" s="772"/>
      <c r="E45" s="219">
        <f t="shared" si="8"/>
        <v>17223227</v>
      </c>
      <c r="F45" s="219">
        <f aca="true" t="shared" si="10" ref="F45:L45">F10+F23+F34</f>
        <v>36819346</v>
      </c>
      <c r="G45" s="219">
        <f t="shared" si="10"/>
        <v>16301987</v>
      </c>
      <c r="H45" s="219">
        <f t="shared" si="10"/>
        <v>40077034</v>
      </c>
      <c r="I45" s="219">
        <f t="shared" si="10"/>
        <v>0</v>
      </c>
      <c r="J45" s="219">
        <f t="shared" si="10"/>
        <v>46172273</v>
      </c>
      <c r="K45" s="219">
        <f t="shared" si="10"/>
        <v>55058062</v>
      </c>
      <c r="L45" s="219">
        <f t="shared" si="10"/>
        <v>2892545</v>
      </c>
      <c r="M45" s="47">
        <f t="shared" si="4"/>
        <v>214544474</v>
      </c>
    </row>
    <row r="46" spans="1:13" ht="12.75">
      <c r="A46" s="779"/>
      <c r="B46" s="768" t="s">
        <v>3</v>
      </c>
      <c r="C46" s="29" t="s">
        <v>1</v>
      </c>
      <c r="D46" s="772"/>
      <c r="E46" s="219">
        <f t="shared" si="8"/>
        <v>16467227</v>
      </c>
      <c r="F46" s="219">
        <f aca="true" t="shared" si="11" ref="F46:L46">F11+F24+F35</f>
        <v>33161346</v>
      </c>
      <c r="G46" s="219">
        <f t="shared" si="11"/>
        <v>14829987</v>
      </c>
      <c r="H46" s="219">
        <f t="shared" si="11"/>
        <v>39737034</v>
      </c>
      <c r="I46" s="219">
        <f t="shared" si="11"/>
        <v>0</v>
      </c>
      <c r="J46" s="219">
        <f t="shared" si="11"/>
        <v>32738273</v>
      </c>
      <c r="K46" s="219">
        <f t="shared" si="11"/>
        <v>24007572</v>
      </c>
      <c r="L46" s="219">
        <f t="shared" si="11"/>
        <v>2002545</v>
      </c>
      <c r="M46" s="47">
        <f t="shared" si="4"/>
        <v>162943984</v>
      </c>
    </row>
    <row r="47" spans="1:13" ht="12.75">
      <c r="A47" s="779"/>
      <c r="B47" s="746"/>
      <c r="C47" s="39" t="s">
        <v>2</v>
      </c>
      <c r="D47" s="772"/>
      <c r="E47" s="219">
        <f t="shared" si="8"/>
        <v>756000</v>
      </c>
      <c r="F47" s="219">
        <f aca="true" t="shared" si="12" ref="F47:L47">F12+F25+F36</f>
        <v>3658000</v>
      </c>
      <c r="G47" s="219">
        <f t="shared" si="12"/>
        <v>1472000</v>
      </c>
      <c r="H47" s="219">
        <f t="shared" si="12"/>
        <v>340000</v>
      </c>
      <c r="I47" s="219">
        <f t="shared" si="12"/>
        <v>0</v>
      </c>
      <c r="J47" s="219">
        <f t="shared" si="12"/>
        <v>13434000</v>
      </c>
      <c r="K47" s="219">
        <f t="shared" si="12"/>
        <v>31050490</v>
      </c>
      <c r="L47" s="219">
        <f t="shared" si="12"/>
        <v>890000</v>
      </c>
      <c r="M47" s="47">
        <f t="shared" si="4"/>
        <v>51600490</v>
      </c>
    </row>
    <row r="48" spans="1:13" ht="12.75">
      <c r="A48" s="779"/>
      <c r="B48" s="40" t="s">
        <v>56</v>
      </c>
      <c r="C48" s="41"/>
      <c r="D48" s="772"/>
      <c r="E48" s="219">
        <f t="shared" si="8"/>
        <v>5855898</v>
      </c>
      <c r="F48" s="219">
        <f aca="true" t="shared" si="13" ref="F48:L48">F13+F26+F37</f>
        <v>12519788</v>
      </c>
      <c r="G48" s="219">
        <f t="shared" si="13"/>
        <v>5481735</v>
      </c>
      <c r="H48" s="219">
        <f t="shared" si="13"/>
        <v>13626192</v>
      </c>
      <c r="I48" s="219">
        <f t="shared" si="13"/>
        <v>0</v>
      </c>
      <c r="J48" s="219">
        <f t="shared" si="13"/>
        <v>12616183</v>
      </c>
      <c r="K48" s="219">
        <f t="shared" si="13"/>
        <v>18719741</v>
      </c>
      <c r="L48" s="219">
        <f t="shared" si="13"/>
        <v>983465</v>
      </c>
      <c r="M48" s="47">
        <f t="shared" si="4"/>
        <v>69803002</v>
      </c>
    </row>
    <row r="49" spans="1:13" ht="12.75">
      <c r="A49" s="779"/>
      <c r="B49" s="40" t="s">
        <v>24</v>
      </c>
      <c r="C49" s="36"/>
      <c r="D49" s="772"/>
      <c r="E49" s="219">
        <f t="shared" si="8"/>
        <v>247008</v>
      </c>
      <c r="F49" s="219">
        <f aca="true" t="shared" si="14" ref="F49:L49">F14+F27+F38</f>
        <v>497420</v>
      </c>
      <c r="G49" s="219">
        <f t="shared" si="14"/>
        <v>222450</v>
      </c>
      <c r="H49" s="219">
        <f t="shared" si="14"/>
        <v>596056</v>
      </c>
      <c r="I49" s="219">
        <f t="shared" si="14"/>
        <v>0</v>
      </c>
      <c r="J49" s="219">
        <f t="shared" si="14"/>
        <v>491074</v>
      </c>
      <c r="K49" s="219">
        <f t="shared" si="14"/>
        <v>360114</v>
      </c>
      <c r="L49" s="219">
        <f t="shared" si="14"/>
        <v>30038</v>
      </c>
      <c r="M49" s="47">
        <f t="shared" si="4"/>
        <v>2444160</v>
      </c>
    </row>
    <row r="50" spans="1:13" ht="12.75">
      <c r="A50" s="780"/>
      <c r="B50" s="40" t="s">
        <v>7</v>
      </c>
      <c r="C50" s="36"/>
      <c r="D50" s="772"/>
      <c r="E50" s="219">
        <f t="shared" si="8"/>
        <v>7404380</v>
      </c>
      <c r="F50" s="219">
        <f aca="true" t="shared" si="15" ref="F50:L50">F15+F28+F39</f>
        <v>10867700</v>
      </c>
      <c r="G50" s="219">
        <f t="shared" si="15"/>
        <v>8624333</v>
      </c>
      <c r="H50" s="219">
        <f t="shared" si="15"/>
        <v>52636000</v>
      </c>
      <c r="I50" s="219">
        <f t="shared" si="15"/>
        <v>6646000</v>
      </c>
      <c r="J50" s="219">
        <f t="shared" si="15"/>
        <v>11253949</v>
      </c>
      <c r="K50" s="219">
        <f t="shared" si="15"/>
        <v>109048779</v>
      </c>
      <c r="L50" s="219">
        <f t="shared" si="15"/>
        <v>1153000</v>
      </c>
      <c r="M50" s="47">
        <f>SUM(E50:L50)</f>
        <v>207634141</v>
      </c>
    </row>
    <row r="51" spans="1:13" ht="13.5" thickBot="1">
      <c r="A51" s="26" t="s">
        <v>9</v>
      </c>
      <c r="B51" s="68"/>
      <c r="C51" s="69"/>
      <c r="D51" s="772"/>
      <c r="E51" s="71">
        <f t="shared" si="8"/>
        <v>52.9</v>
      </c>
      <c r="F51" s="71">
        <f aca="true" t="shared" si="16" ref="F51:L51">F16+F29+F40</f>
        <v>103.8</v>
      </c>
      <c r="G51" s="71">
        <f t="shared" si="16"/>
        <v>44.24</v>
      </c>
      <c r="H51" s="71">
        <f t="shared" si="16"/>
        <v>145.39</v>
      </c>
      <c r="I51" s="71">
        <f t="shared" si="16"/>
        <v>0</v>
      </c>
      <c r="J51" s="71">
        <f t="shared" si="16"/>
        <v>103.18</v>
      </c>
      <c r="K51" s="71">
        <f t="shared" si="16"/>
        <v>70</v>
      </c>
      <c r="L51" s="71">
        <f t="shared" si="16"/>
        <v>6</v>
      </c>
      <c r="M51" s="70">
        <f t="shared" si="4"/>
        <v>525.51</v>
      </c>
    </row>
    <row r="52" spans="1:13" ht="13.5" thickTop="1">
      <c r="A52" s="75" t="s">
        <v>95</v>
      </c>
      <c r="B52" s="73"/>
      <c r="C52" s="74"/>
      <c r="D52" s="772"/>
      <c r="E52" s="194">
        <f aca="true" t="shared" si="17" ref="E52:L52">SUM(E17)</f>
        <v>2000000</v>
      </c>
      <c r="F52" s="194">
        <f t="shared" si="17"/>
        <v>0</v>
      </c>
      <c r="G52" s="194">
        <f t="shared" si="17"/>
        <v>1000000</v>
      </c>
      <c r="H52" s="194">
        <f t="shared" si="17"/>
        <v>0</v>
      </c>
      <c r="I52" s="194">
        <f t="shared" si="17"/>
        <v>0</v>
      </c>
      <c r="J52" s="194">
        <f t="shared" si="17"/>
        <v>7800000</v>
      </c>
      <c r="K52" s="194">
        <f t="shared" si="17"/>
        <v>7000000</v>
      </c>
      <c r="L52" s="194">
        <f t="shared" si="17"/>
        <v>100000</v>
      </c>
      <c r="M52" s="50">
        <f t="shared" si="4"/>
        <v>17900000</v>
      </c>
    </row>
    <row r="53" spans="1:13" ht="13.5" thickBot="1">
      <c r="A53" s="43" t="s">
        <v>57</v>
      </c>
      <c r="B53" s="44"/>
      <c r="C53" s="44"/>
      <c r="D53" s="773"/>
      <c r="E53" s="195">
        <f aca="true" t="shared" si="18" ref="E53:L53">SUM(E18)</f>
        <v>0</v>
      </c>
      <c r="F53" s="195">
        <f t="shared" si="18"/>
        <v>0</v>
      </c>
      <c r="G53" s="195">
        <f t="shared" si="18"/>
        <v>0</v>
      </c>
      <c r="H53" s="195">
        <f t="shared" si="18"/>
        <v>0</v>
      </c>
      <c r="I53" s="195">
        <f t="shared" si="18"/>
        <v>0</v>
      </c>
      <c r="J53" s="195">
        <f t="shared" si="18"/>
        <v>0</v>
      </c>
      <c r="K53" s="195">
        <f>SUM(K18)</f>
        <v>0</v>
      </c>
      <c r="L53" s="195">
        <f t="shared" si="18"/>
        <v>0</v>
      </c>
      <c r="M53" s="48">
        <f t="shared" si="4"/>
        <v>0</v>
      </c>
    </row>
    <row r="54" ht="13.5" thickTop="1"/>
    <row r="55" spans="1:2" ht="15.75">
      <c r="A55" s="58" t="s">
        <v>77</v>
      </c>
      <c r="B55" t="s">
        <v>132</v>
      </c>
    </row>
    <row r="56" ht="12.75">
      <c r="B56" t="s">
        <v>267</v>
      </c>
    </row>
  </sheetData>
  <sheetProtection/>
  <mergeCells count="17">
    <mergeCell ref="B11:B12"/>
    <mergeCell ref="A32:C32"/>
    <mergeCell ref="A21:C21"/>
    <mergeCell ref="A3:M3"/>
    <mergeCell ref="B24:B25"/>
    <mergeCell ref="D7:D18"/>
    <mergeCell ref="A23:A28"/>
    <mergeCell ref="B35:B36"/>
    <mergeCell ref="A6:C6"/>
    <mergeCell ref="D41:D53"/>
    <mergeCell ref="A43:C43"/>
    <mergeCell ref="D30:D40"/>
    <mergeCell ref="D19:D29"/>
    <mergeCell ref="A34:A39"/>
    <mergeCell ref="A10:A15"/>
    <mergeCell ref="A45:A50"/>
    <mergeCell ref="B46:B47"/>
  </mergeCells>
  <printOptions/>
  <pageMargins left="0.3937007874015748" right="0.3937007874015748" top="0.7874015748031497" bottom="0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L24"/>
  <sheetViews>
    <sheetView zoomScalePageLayoutView="0" workbookViewId="0" topLeftCell="A4">
      <selection activeCell="B31" sqref="B31:B33"/>
    </sheetView>
  </sheetViews>
  <sheetFormatPr defaultColWidth="9.00390625" defaultRowHeight="12.75"/>
  <cols>
    <col min="1" max="1" width="4.375" style="80" customWidth="1"/>
    <col min="2" max="2" width="50.75390625" style="80" customWidth="1"/>
    <col min="3" max="3" width="13.375" style="80" customWidth="1"/>
    <col min="4" max="5" width="12.75390625" style="80" bestFit="1" customWidth="1"/>
    <col min="6" max="6" width="11.25390625" style="80" customWidth="1"/>
    <col min="7" max="7" width="12.375" style="80" customWidth="1"/>
    <col min="8" max="8" width="9.00390625" style="80" bestFit="1" customWidth="1"/>
    <col min="9" max="9" width="13.75390625" style="80" customWidth="1"/>
    <col min="10" max="10" width="7.25390625" style="80" customWidth="1"/>
    <col min="11" max="11" width="9.625" style="80" customWidth="1"/>
    <col min="12" max="16384" width="9.125" style="80" customWidth="1"/>
  </cols>
  <sheetData>
    <row r="1" spans="1:12" ht="15.75">
      <c r="A1" s="82"/>
      <c r="B1" s="82"/>
      <c r="C1" s="82"/>
      <c r="D1" s="82"/>
      <c r="E1" s="82"/>
      <c r="F1" s="82"/>
      <c r="G1" s="82"/>
      <c r="H1" s="82"/>
      <c r="I1" s="82"/>
      <c r="J1" s="82"/>
      <c r="K1" s="94" t="s">
        <v>254</v>
      </c>
      <c r="L1" s="82"/>
    </row>
    <row r="2" spans="1:12" ht="12.7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20.25">
      <c r="A3" s="82"/>
      <c r="B3" s="95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8">
      <c r="A4" s="82"/>
      <c r="B4" s="96" t="s">
        <v>190</v>
      </c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ht="20.25">
      <c r="A5" s="82"/>
      <c r="B5" s="95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ht="13.5" thickBot="1">
      <c r="A6" s="82"/>
      <c r="B6" s="82"/>
      <c r="C6" s="82"/>
      <c r="D6" s="82"/>
      <c r="E6" s="82"/>
      <c r="F6" s="82"/>
      <c r="G6" s="82"/>
      <c r="H6" s="82"/>
      <c r="I6" s="82"/>
      <c r="J6" s="82"/>
      <c r="K6" s="180" t="s">
        <v>115</v>
      </c>
      <c r="L6" s="82"/>
    </row>
    <row r="7" spans="1:12" ht="12.75">
      <c r="A7" s="82"/>
      <c r="B7" s="97"/>
      <c r="C7" s="98" t="s">
        <v>43</v>
      </c>
      <c r="D7" s="99"/>
      <c r="E7" s="99"/>
      <c r="F7" s="99" t="s">
        <v>3</v>
      </c>
      <c r="G7" s="99"/>
      <c r="H7" s="99"/>
      <c r="I7" s="100"/>
      <c r="J7" s="101" t="s">
        <v>22</v>
      </c>
      <c r="K7" s="786" t="s">
        <v>191</v>
      </c>
      <c r="L7" s="82"/>
    </row>
    <row r="8" spans="1:12" ht="12.75">
      <c r="A8" s="82"/>
      <c r="B8" s="102"/>
      <c r="C8" s="103" t="s">
        <v>44</v>
      </c>
      <c r="D8" s="104" t="s">
        <v>23</v>
      </c>
      <c r="E8" s="105" t="s">
        <v>3</v>
      </c>
      <c r="F8" s="106"/>
      <c r="G8" s="104" t="s">
        <v>4</v>
      </c>
      <c r="H8" s="104"/>
      <c r="I8" s="104" t="s">
        <v>25</v>
      </c>
      <c r="J8" s="107" t="s">
        <v>26</v>
      </c>
      <c r="K8" s="787"/>
      <c r="L8" s="82"/>
    </row>
    <row r="9" spans="1:12" ht="12.75">
      <c r="A9" s="82"/>
      <c r="B9" s="102"/>
      <c r="C9" s="103" t="s">
        <v>0</v>
      </c>
      <c r="D9" s="104"/>
      <c r="E9" s="108" t="s">
        <v>1</v>
      </c>
      <c r="F9" s="104" t="s">
        <v>2</v>
      </c>
      <c r="G9" s="104"/>
      <c r="H9" s="104"/>
      <c r="I9" s="104" t="s">
        <v>27</v>
      </c>
      <c r="J9" s="107"/>
      <c r="K9" s="787"/>
      <c r="L9" s="82"/>
    </row>
    <row r="10" spans="1:12" ht="12.75">
      <c r="A10" s="82"/>
      <c r="B10" s="102"/>
      <c r="C10" s="103"/>
      <c r="D10" s="104"/>
      <c r="E10" s="103"/>
      <c r="F10" s="104"/>
      <c r="G10" s="104"/>
      <c r="H10" s="104"/>
      <c r="I10" s="104"/>
      <c r="J10" s="107"/>
      <c r="K10" s="788"/>
      <c r="L10" s="82"/>
    </row>
    <row r="11" spans="1:12" ht="13.5" thickBot="1">
      <c r="A11" s="82"/>
      <c r="B11" s="109"/>
      <c r="C11" s="81" t="s">
        <v>10</v>
      </c>
      <c r="D11" s="81" t="s">
        <v>11</v>
      </c>
      <c r="E11" s="81" t="s">
        <v>12</v>
      </c>
      <c r="F11" s="81" t="s">
        <v>13</v>
      </c>
      <c r="G11" s="81" t="s">
        <v>14</v>
      </c>
      <c r="H11" s="81" t="s">
        <v>15</v>
      </c>
      <c r="I11" s="81" t="s">
        <v>16</v>
      </c>
      <c r="J11" s="110" t="s">
        <v>17</v>
      </c>
      <c r="K11" s="111" t="s">
        <v>18</v>
      </c>
      <c r="L11" s="82"/>
    </row>
    <row r="12" spans="1:12" ht="12.75">
      <c r="A12" s="112"/>
      <c r="B12" s="113" t="s">
        <v>31</v>
      </c>
      <c r="C12" s="98"/>
      <c r="D12" s="104"/>
      <c r="E12" s="104"/>
      <c r="F12" s="104"/>
      <c r="G12" s="103"/>
      <c r="H12" s="104"/>
      <c r="I12" s="104"/>
      <c r="J12" s="107"/>
      <c r="K12" s="114"/>
      <c r="L12" s="82"/>
    </row>
    <row r="13" spans="1:12" ht="12.75">
      <c r="A13" s="112"/>
      <c r="B13" s="113"/>
      <c r="C13" s="120"/>
      <c r="D13" s="121"/>
      <c r="E13" s="121"/>
      <c r="F13" s="121"/>
      <c r="G13" s="120"/>
      <c r="H13" s="121"/>
      <c r="I13" s="121"/>
      <c r="J13" s="107"/>
      <c r="K13" s="114"/>
      <c r="L13" s="82"/>
    </row>
    <row r="14" spans="1:12" ht="12.75">
      <c r="A14" s="82"/>
      <c r="B14" s="115" t="s">
        <v>41</v>
      </c>
      <c r="C14" s="231">
        <f>SUM(D14+G14+H14+I14)</f>
        <v>13694061</v>
      </c>
      <c r="D14" s="232">
        <f>SUM(E14+F14)</f>
        <v>3555585</v>
      </c>
      <c r="E14" s="233">
        <v>2801403</v>
      </c>
      <c r="F14" s="233">
        <v>754182</v>
      </c>
      <c r="G14" s="234">
        <v>967458</v>
      </c>
      <c r="H14" s="234">
        <v>42021</v>
      </c>
      <c r="I14" s="233">
        <v>9128997</v>
      </c>
      <c r="J14" s="250">
        <v>6</v>
      </c>
      <c r="K14" s="226">
        <v>720000</v>
      </c>
      <c r="L14" s="82"/>
    </row>
    <row r="15" spans="1:12" ht="13.5" thickBot="1">
      <c r="A15" s="82"/>
      <c r="B15" s="109" t="s">
        <v>42</v>
      </c>
      <c r="C15" s="235">
        <f>SUM(D15+G15+H15+I15)</f>
        <v>110698647</v>
      </c>
      <c r="D15" s="236">
        <f>SUM(E15+F15)</f>
        <v>38823251</v>
      </c>
      <c r="E15" s="237">
        <v>36781440</v>
      </c>
      <c r="F15" s="237">
        <v>2041811</v>
      </c>
      <c r="G15" s="238">
        <v>13199905</v>
      </c>
      <c r="H15" s="388">
        <v>551721</v>
      </c>
      <c r="I15" s="237">
        <v>58123770</v>
      </c>
      <c r="J15" s="251">
        <v>92</v>
      </c>
      <c r="K15" s="227">
        <v>66000</v>
      </c>
      <c r="L15" s="82"/>
    </row>
    <row r="16" spans="1:12" ht="13.5" thickBot="1">
      <c r="A16" s="82"/>
      <c r="B16" s="123" t="s">
        <v>39</v>
      </c>
      <c r="C16" s="239">
        <f aca="true" t="shared" si="0" ref="C16:K16">SUM(C14:C15)</f>
        <v>124392708</v>
      </c>
      <c r="D16" s="239">
        <f t="shared" si="0"/>
        <v>42378836</v>
      </c>
      <c r="E16" s="239">
        <f t="shared" si="0"/>
        <v>39582843</v>
      </c>
      <c r="F16" s="240">
        <f t="shared" si="0"/>
        <v>2795993</v>
      </c>
      <c r="G16" s="239">
        <f t="shared" si="0"/>
        <v>14167363</v>
      </c>
      <c r="H16" s="239">
        <f t="shared" si="0"/>
        <v>593742</v>
      </c>
      <c r="I16" s="239">
        <f t="shared" si="0"/>
        <v>67252767</v>
      </c>
      <c r="J16" s="252">
        <f t="shared" si="0"/>
        <v>98</v>
      </c>
      <c r="K16" s="228">
        <f t="shared" si="0"/>
        <v>786000</v>
      </c>
      <c r="L16" s="82"/>
    </row>
    <row r="17" spans="1:12" ht="13.5" thickTop="1">
      <c r="A17" s="82"/>
      <c r="B17" s="116"/>
      <c r="C17" s="241"/>
      <c r="D17" s="242"/>
      <c r="E17" s="243"/>
      <c r="F17" s="244"/>
      <c r="G17" s="243"/>
      <c r="H17" s="243"/>
      <c r="I17" s="243"/>
      <c r="J17" s="253"/>
      <c r="K17" s="229"/>
      <c r="L17" s="82"/>
    </row>
    <row r="18" spans="1:12" ht="15">
      <c r="A18" s="82"/>
      <c r="B18" s="138" t="s">
        <v>112</v>
      </c>
      <c r="C18" s="245">
        <f>SUM(D18+G18+H18+I18)</f>
        <v>274500000</v>
      </c>
      <c r="D18" s="245">
        <f>SUM(E18+F18)</f>
        <v>0</v>
      </c>
      <c r="E18" s="246"/>
      <c r="F18" s="245"/>
      <c r="G18" s="246"/>
      <c r="H18" s="246"/>
      <c r="I18" s="168">
        <v>274500000</v>
      </c>
      <c r="J18" s="254"/>
      <c r="K18" s="144"/>
      <c r="L18" s="82"/>
    </row>
    <row r="19" spans="1:12" ht="15">
      <c r="A19" s="82"/>
      <c r="B19" s="117"/>
      <c r="C19" s="122"/>
      <c r="D19" s="122"/>
      <c r="E19" s="247"/>
      <c r="F19" s="248"/>
      <c r="G19" s="249"/>
      <c r="H19" s="249"/>
      <c r="I19" s="249"/>
      <c r="J19" s="255"/>
      <c r="K19" s="144"/>
      <c r="L19" s="82"/>
    </row>
    <row r="20" spans="1:12" ht="15.75">
      <c r="A20" s="118"/>
      <c r="B20" s="119" t="s">
        <v>65</v>
      </c>
      <c r="C20" s="230">
        <f>SUM(D20+G20+H20+I20)</f>
        <v>398892708</v>
      </c>
      <c r="D20" s="230">
        <f>F20+E20</f>
        <v>42378836</v>
      </c>
      <c r="E20" s="230">
        <f aca="true" t="shared" si="1" ref="E20:J20">E16+E18</f>
        <v>39582843</v>
      </c>
      <c r="F20" s="230">
        <f t="shared" si="1"/>
        <v>2795993</v>
      </c>
      <c r="G20" s="230">
        <f t="shared" si="1"/>
        <v>14167363</v>
      </c>
      <c r="H20" s="230">
        <f t="shared" si="1"/>
        <v>593742</v>
      </c>
      <c r="I20" s="230">
        <f t="shared" si="1"/>
        <v>341752767</v>
      </c>
      <c r="J20" s="390">
        <f t="shared" si="1"/>
        <v>98</v>
      </c>
      <c r="K20" s="391">
        <f>K16+K18</f>
        <v>786000</v>
      </c>
      <c r="L20" s="118"/>
    </row>
    <row r="23" ht="12.75">
      <c r="C23" s="389"/>
    </row>
    <row r="24" ht="12.75">
      <c r="C24" s="389"/>
    </row>
  </sheetData>
  <sheetProtection/>
  <mergeCells count="1">
    <mergeCell ref="K7:K10"/>
  </mergeCells>
  <printOptions/>
  <pageMargins left="0.5905511811023623" right="0.3937007874015748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T49"/>
  <sheetViews>
    <sheetView zoomScale="80" zoomScaleNormal="80" zoomScalePageLayoutView="0" workbookViewId="0" topLeftCell="A10">
      <selection activeCell="K34" sqref="K34"/>
    </sheetView>
  </sheetViews>
  <sheetFormatPr defaultColWidth="9.00390625" defaultRowHeight="12.75"/>
  <cols>
    <col min="1" max="1" width="5.00390625" style="258" bestFit="1" customWidth="1"/>
    <col min="2" max="2" width="66.125" style="258" customWidth="1"/>
    <col min="3" max="5" width="14.125" style="258" bestFit="1" customWidth="1"/>
    <col min="6" max="6" width="14.125" style="258" customWidth="1"/>
    <col min="7" max="7" width="12.75390625" style="258" bestFit="1" customWidth="1"/>
    <col min="8" max="9" width="14.125" style="258" bestFit="1" customWidth="1"/>
    <col min="10" max="11" width="7.375" style="258" bestFit="1" customWidth="1"/>
    <col min="12" max="12" width="7.75390625" style="258" bestFit="1" customWidth="1"/>
    <col min="13" max="13" width="13.00390625" style="258" customWidth="1"/>
    <col min="14" max="14" width="9.125" style="258" customWidth="1"/>
    <col min="15" max="15" width="11.125" style="258" bestFit="1" customWidth="1"/>
    <col min="16" max="16" width="9.125" style="258" customWidth="1"/>
    <col min="17" max="17" width="0" style="258" hidden="1" customWidth="1"/>
    <col min="18" max="16384" width="9.125" style="258" customWidth="1"/>
  </cols>
  <sheetData>
    <row r="1" spans="1:20" ht="15.7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 t="s">
        <v>255</v>
      </c>
      <c r="N1" s="256"/>
      <c r="O1" s="257"/>
      <c r="P1" s="257"/>
      <c r="Q1" s="257"/>
      <c r="R1" s="257"/>
      <c r="S1" s="257"/>
      <c r="T1" s="257"/>
    </row>
    <row r="2" spans="1:20" ht="12" customHeight="1">
      <c r="A2" s="124"/>
      <c r="B2" s="126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256"/>
      <c r="O2" s="257"/>
      <c r="P2" s="257"/>
      <c r="Q2" s="257"/>
      <c r="R2" s="257"/>
      <c r="S2" s="257"/>
      <c r="T2" s="257"/>
    </row>
    <row r="3" spans="1:20" ht="17.25" customHeight="1">
      <c r="A3" s="124"/>
      <c r="B3" s="126" t="s">
        <v>167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256"/>
      <c r="O3" s="257"/>
      <c r="P3" s="257"/>
      <c r="Q3" s="257"/>
      <c r="R3" s="257"/>
      <c r="S3" s="257"/>
      <c r="T3" s="257"/>
    </row>
    <row r="4" spans="1:20" ht="9" customHeight="1">
      <c r="A4" s="124"/>
      <c r="B4" s="126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256"/>
      <c r="O4" s="257"/>
      <c r="P4" s="257"/>
      <c r="Q4" s="257"/>
      <c r="R4" s="257"/>
      <c r="S4" s="257"/>
      <c r="T4" s="257"/>
    </row>
    <row r="5" spans="1:20" ht="13.5" thickBo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 t="s">
        <v>115</v>
      </c>
      <c r="N5" s="256"/>
      <c r="O5" s="257"/>
      <c r="P5" s="257"/>
      <c r="Q5" s="257"/>
      <c r="R5" s="257"/>
      <c r="S5" s="257"/>
      <c r="T5" s="257"/>
    </row>
    <row r="6" spans="1:13" s="263" customFormat="1" ht="12.75">
      <c r="A6" s="82"/>
      <c r="B6" s="259"/>
      <c r="C6" s="260" t="s">
        <v>43</v>
      </c>
      <c r="D6" s="261"/>
      <c r="E6" s="261"/>
      <c r="F6" s="261"/>
      <c r="G6" s="261" t="s">
        <v>3</v>
      </c>
      <c r="H6" s="261"/>
      <c r="I6" s="261"/>
      <c r="J6" s="98" t="s">
        <v>22</v>
      </c>
      <c r="K6" s="98" t="s">
        <v>22</v>
      </c>
      <c r="L6" s="261" t="s">
        <v>22</v>
      </c>
      <c r="M6" s="262"/>
    </row>
    <row r="7" spans="1:13" s="263" customFormat="1" ht="12.75">
      <c r="A7" s="82"/>
      <c r="B7" s="264"/>
      <c r="C7" s="265" t="s">
        <v>44</v>
      </c>
      <c r="D7" s="266"/>
      <c r="E7" s="331"/>
      <c r="F7" s="105" t="s">
        <v>3</v>
      </c>
      <c r="G7" s="106"/>
      <c r="H7" s="108"/>
      <c r="I7" s="266" t="s">
        <v>25</v>
      </c>
      <c r="J7" s="103" t="s">
        <v>26</v>
      </c>
      <c r="K7" s="103" t="s">
        <v>26</v>
      </c>
      <c r="L7" s="267" t="s">
        <v>26</v>
      </c>
      <c r="M7" s="265" t="s">
        <v>45</v>
      </c>
    </row>
    <row r="8" spans="1:13" s="263" customFormat="1" ht="12.75">
      <c r="A8" s="82"/>
      <c r="B8" s="264"/>
      <c r="C8" s="265" t="s">
        <v>0</v>
      </c>
      <c r="D8" s="267" t="s">
        <v>23</v>
      </c>
      <c r="E8" s="103" t="s">
        <v>1</v>
      </c>
      <c r="F8" s="103" t="s">
        <v>1</v>
      </c>
      <c r="G8" s="334" t="s">
        <v>183</v>
      </c>
      <c r="H8" s="103" t="s">
        <v>4</v>
      </c>
      <c r="I8" s="267" t="s">
        <v>27</v>
      </c>
      <c r="J8" s="332" t="s">
        <v>177</v>
      </c>
      <c r="K8" s="332" t="s">
        <v>179</v>
      </c>
      <c r="L8" s="334" t="s">
        <v>0</v>
      </c>
      <c r="M8" s="268"/>
    </row>
    <row r="9" spans="1:13" s="263" customFormat="1" ht="13.5" thickBot="1">
      <c r="A9" s="82"/>
      <c r="B9" s="264"/>
      <c r="C9" s="265"/>
      <c r="D9" s="267"/>
      <c r="E9" s="332" t="s">
        <v>176</v>
      </c>
      <c r="F9" s="332" t="s">
        <v>175</v>
      </c>
      <c r="G9" s="267"/>
      <c r="H9" s="103"/>
      <c r="I9" s="267"/>
      <c r="J9" s="332" t="s">
        <v>178</v>
      </c>
      <c r="K9" s="332" t="s">
        <v>180</v>
      </c>
      <c r="L9" s="267"/>
      <c r="M9" s="268"/>
    </row>
    <row r="10" spans="1:13" s="263" customFormat="1" ht="13.5" thickBot="1">
      <c r="A10" s="82"/>
      <c r="B10" s="269"/>
      <c r="C10" s="270" t="s">
        <v>10</v>
      </c>
      <c r="D10" s="271" t="s">
        <v>11</v>
      </c>
      <c r="E10" s="272" t="s">
        <v>12</v>
      </c>
      <c r="F10" s="272" t="s">
        <v>13</v>
      </c>
      <c r="G10" s="271" t="s">
        <v>13</v>
      </c>
      <c r="H10" s="272" t="s">
        <v>14</v>
      </c>
      <c r="I10" s="271" t="s">
        <v>15</v>
      </c>
      <c r="J10" s="272"/>
      <c r="K10" s="272"/>
      <c r="L10" s="271" t="s">
        <v>16</v>
      </c>
      <c r="M10" s="270" t="s">
        <v>17</v>
      </c>
    </row>
    <row r="11" spans="1:20" ht="12.75">
      <c r="A11" s="127" t="s">
        <v>30</v>
      </c>
      <c r="B11" s="273" t="s">
        <v>31</v>
      </c>
      <c r="C11" s="274"/>
      <c r="D11" s="275"/>
      <c r="E11" s="276"/>
      <c r="F11" s="276"/>
      <c r="G11" s="275"/>
      <c r="H11" s="276"/>
      <c r="I11" s="275"/>
      <c r="J11" s="276"/>
      <c r="K11" s="276"/>
      <c r="L11" s="335"/>
      <c r="M11" s="277"/>
      <c r="N11" s="257"/>
      <c r="O11" s="257"/>
      <c r="P11" s="257"/>
      <c r="Q11" s="257"/>
      <c r="R11" s="257"/>
      <c r="S11" s="257"/>
      <c r="T11" s="257"/>
    </row>
    <row r="12" spans="1:20" ht="12.75">
      <c r="A12" s="128"/>
      <c r="B12" s="113"/>
      <c r="C12" s="278"/>
      <c r="D12" s="279"/>
      <c r="E12" s="280"/>
      <c r="F12" s="280"/>
      <c r="G12" s="279"/>
      <c r="H12" s="280"/>
      <c r="I12" s="279"/>
      <c r="J12" s="280"/>
      <c r="K12" s="280"/>
      <c r="L12" s="336"/>
      <c r="M12" s="281"/>
      <c r="N12" s="257"/>
      <c r="O12" s="257"/>
      <c r="P12" s="257"/>
      <c r="Q12" s="257"/>
      <c r="R12" s="257"/>
      <c r="S12" s="257"/>
      <c r="T12" s="257"/>
    </row>
    <row r="13" spans="1:20" ht="12.75">
      <c r="A13" s="130"/>
      <c r="B13" s="343" t="s">
        <v>174</v>
      </c>
      <c r="C13" s="134">
        <f aca="true" t="shared" si="0" ref="C13:C29">D13+H13+I13</f>
        <v>303881337</v>
      </c>
      <c r="D13" s="283">
        <f>E13+F13+G13</f>
        <v>224717493</v>
      </c>
      <c r="E13" s="337">
        <v>24600000</v>
      </c>
      <c r="F13" s="337">
        <v>193252515</v>
      </c>
      <c r="G13" s="283">
        <v>6864978</v>
      </c>
      <c r="H13" s="339">
        <v>75893948</v>
      </c>
      <c r="I13" s="283">
        <v>3269896</v>
      </c>
      <c r="J13" s="337">
        <v>50</v>
      </c>
      <c r="K13" s="337">
        <v>418</v>
      </c>
      <c r="L13" s="283">
        <f>J13+K13</f>
        <v>468</v>
      </c>
      <c r="M13" s="344"/>
      <c r="N13" s="257"/>
      <c r="O13" s="257"/>
      <c r="P13" s="257"/>
      <c r="Q13" s="129"/>
      <c r="R13" s="257"/>
      <c r="S13" s="257"/>
      <c r="T13" s="257"/>
    </row>
    <row r="14" spans="1:20" ht="12.75">
      <c r="A14" s="130"/>
      <c r="B14" s="343" t="s">
        <v>168</v>
      </c>
      <c r="C14" s="134">
        <f t="shared" si="0"/>
        <v>911000</v>
      </c>
      <c r="D14" s="283">
        <f aca="true" t="shared" si="1" ref="D14:D44">E14+F14+G14</f>
        <v>0</v>
      </c>
      <c r="E14" s="340"/>
      <c r="F14" s="340"/>
      <c r="G14" s="345"/>
      <c r="H14" s="346"/>
      <c r="I14" s="282">
        <v>911000</v>
      </c>
      <c r="J14" s="231"/>
      <c r="K14" s="231"/>
      <c r="L14" s="282">
        <f aca="true" t="shared" si="2" ref="L14:L32">J14+K14</f>
        <v>0</v>
      </c>
      <c r="M14" s="347"/>
      <c r="N14" s="257"/>
      <c r="O14" s="257"/>
      <c r="P14" s="257"/>
      <c r="Q14" s="129"/>
      <c r="R14" s="257"/>
      <c r="S14" s="257"/>
      <c r="T14" s="257"/>
    </row>
    <row r="15" spans="1:20" ht="12.75">
      <c r="A15" s="130"/>
      <c r="B15" s="343" t="s">
        <v>169</v>
      </c>
      <c r="C15" s="134">
        <f t="shared" si="0"/>
        <v>2110000</v>
      </c>
      <c r="D15" s="283">
        <f t="shared" si="1"/>
        <v>0</v>
      </c>
      <c r="E15" s="340"/>
      <c r="F15" s="340"/>
      <c r="G15" s="345"/>
      <c r="H15" s="346"/>
      <c r="I15" s="282">
        <v>2110000</v>
      </c>
      <c r="J15" s="231"/>
      <c r="K15" s="231"/>
      <c r="L15" s="282">
        <f t="shared" si="2"/>
        <v>0</v>
      </c>
      <c r="M15" s="347"/>
      <c r="N15" s="256"/>
      <c r="O15" s="257"/>
      <c r="P15" s="257"/>
      <c r="Q15" s="131"/>
      <c r="R15" s="257"/>
      <c r="S15" s="257"/>
      <c r="T15" s="257"/>
    </row>
    <row r="16" spans="1:20" ht="12.75">
      <c r="A16" s="130"/>
      <c r="B16" s="343" t="s">
        <v>189</v>
      </c>
      <c r="C16" s="134">
        <f t="shared" si="0"/>
        <v>13899697</v>
      </c>
      <c r="D16" s="283">
        <f t="shared" si="1"/>
        <v>11514102</v>
      </c>
      <c r="E16" s="340"/>
      <c r="F16" s="340"/>
      <c r="G16" s="282">
        <f>SUM(G17:G22)</f>
        <v>11514102</v>
      </c>
      <c r="H16" s="337">
        <f>SUM(H17:H22)</f>
        <v>2385595</v>
      </c>
      <c r="I16" s="282">
        <f>SUM(I17:I22)</f>
        <v>0</v>
      </c>
      <c r="J16" s="231"/>
      <c r="K16" s="231"/>
      <c r="L16" s="282">
        <f t="shared" si="2"/>
        <v>0</v>
      </c>
      <c r="M16" s="347"/>
      <c r="N16" s="256"/>
      <c r="O16" s="257"/>
      <c r="P16" s="257"/>
      <c r="Q16" s="131"/>
      <c r="R16" s="257"/>
      <c r="S16" s="257"/>
      <c r="T16" s="257"/>
    </row>
    <row r="17" spans="1:20" ht="12.75">
      <c r="A17" s="130"/>
      <c r="B17" s="348" t="s">
        <v>181</v>
      </c>
      <c r="C17" s="349">
        <f t="shared" si="0"/>
        <v>351700</v>
      </c>
      <c r="D17" s="307">
        <f t="shared" si="1"/>
        <v>265000</v>
      </c>
      <c r="E17" s="310"/>
      <c r="F17" s="310"/>
      <c r="G17" s="308">
        <v>265000</v>
      </c>
      <c r="H17" s="308">
        <v>86700</v>
      </c>
      <c r="I17" s="333"/>
      <c r="J17" s="338"/>
      <c r="K17" s="338"/>
      <c r="L17" s="283">
        <f t="shared" si="2"/>
        <v>0</v>
      </c>
      <c r="M17" s="134"/>
      <c r="N17" s="257"/>
      <c r="O17" s="257"/>
      <c r="P17" s="257"/>
      <c r="Q17" s="135"/>
      <c r="R17" s="257"/>
      <c r="S17" s="257"/>
      <c r="T17" s="257"/>
    </row>
    <row r="18" spans="1:20" ht="12.75">
      <c r="A18" s="130"/>
      <c r="B18" s="348" t="s">
        <v>186</v>
      </c>
      <c r="C18" s="349">
        <f t="shared" si="0"/>
        <v>4528757</v>
      </c>
      <c r="D18" s="307">
        <f t="shared" si="1"/>
        <v>3703602</v>
      </c>
      <c r="E18" s="310"/>
      <c r="F18" s="310"/>
      <c r="G18" s="308">
        <v>3703602</v>
      </c>
      <c r="H18" s="308">
        <v>825155</v>
      </c>
      <c r="I18" s="333"/>
      <c r="J18" s="338"/>
      <c r="K18" s="338"/>
      <c r="L18" s="283">
        <f t="shared" si="2"/>
        <v>0</v>
      </c>
      <c r="M18" s="134"/>
      <c r="N18" s="257"/>
      <c r="O18" s="257"/>
      <c r="P18" s="257"/>
      <c r="Q18" s="257"/>
      <c r="R18" s="257"/>
      <c r="S18" s="257"/>
      <c r="T18" s="257"/>
    </row>
    <row r="19" spans="1:20" ht="12.75">
      <c r="A19" s="130"/>
      <c r="B19" s="348" t="s">
        <v>182</v>
      </c>
      <c r="C19" s="349">
        <f t="shared" si="0"/>
        <v>358000</v>
      </c>
      <c r="D19" s="307">
        <f t="shared" si="1"/>
        <v>267000</v>
      </c>
      <c r="E19" s="310"/>
      <c r="F19" s="310"/>
      <c r="G19" s="308">
        <v>267000</v>
      </c>
      <c r="H19" s="308">
        <v>91000</v>
      </c>
      <c r="I19" s="333"/>
      <c r="J19" s="338"/>
      <c r="K19" s="338"/>
      <c r="L19" s="283">
        <f t="shared" si="2"/>
        <v>0</v>
      </c>
      <c r="M19" s="134"/>
      <c r="N19" s="257"/>
      <c r="O19" s="257"/>
      <c r="P19" s="257"/>
      <c r="Q19" s="257"/>
      <c r="R19" s="257"/>
      <c r="S19" s="257"/>
      <c r="T19" s="257"/>
    </row>
    <row r="20" spans="1:20" ht="12.75">
      <c r="A20" s="130"/>
      <c r="B20" s="348" t="s">
        <v>185</v>
      </c>
      <c r="C20" s="349">
        <f t="shared" si="0"/>
        <v>134000</v>
      </c>
      <c r="D20" s="307">
        <f t="shared" si="1"/>
        <v>134000</v>
      </c>
      <c r="E20" s="310"/>
      <c r="F20" s="310"/>
      <c r="G20" s="308">
        <v>134000</v>
      </c>
      <c r="H20" s="308">
        <v>0</v>
      </c>
      <c r="I20" s="333"/>
      <c r="J20" s="338"/>
      <c r="K20" s="338"/>
      <c r="L20" s="283">
        <f t="shared" si="2"/>
        <v>0</v>
      </c>
      <c r="M20" s="134"/>
      <c r="N20" s="263"/>
      <c r="O20" s="257"/>
      <c r="P20" s="257"/>
      <c r="Q20" s="257"/>
      <c r="R20" s="257"/>
      <c r="S20" s="257"/>
      <c r="T20" s="257"/>
    </row>
    <row r="21" spans="1:20" ht="12.75">
      <c r="A21" s="263"/>
      <c r="B21" s="348" t="s">
        <v>184</v>
      </c>
      <c r="C21" s="349">
        <f t="shared" si="0"/>
        <v>837280</v>
      </c>
      <c r="D21" s="307">
        <f t="shared" si="1"/>
        <v>751600</v>
      </c>
      <c r="E21" s="310"/>
      <c r="F21" s="310"/>
      <c r="G21" s="308">
        <v>751600</v>
      </c>
      <c r="H21" s="308">
        <v>85680</v>
      </c>
      <c r="I21" s="333"/>
      <c r="J21" s="338"/>
      <c r="K21" s="338"/>
      <c r="L21" s="283">
        <f t="shared" si="2"/>
        <v>0</v>
      </c>
      <c r="M21" s="134"/>
      <c r="N21" s="263"/>
      <c r="O21" s="257"/>
      <c r="P21" s="257"/>
      <c r="Q21" s="257"/>
      <c r="R21" s="257"/>
      <c r="S21" s="257"/>
      <c r="T21" s="257"/>
    </row>
    <row r="22" spans="1:20" ht="12.75">
      <c r="A22" s="130"/>
      <c r="B22" s="348" t="s">
        <v>170</v>
      </c>
      <c r="C22" s="349">
        <f t="shared" si="0"/>
        <v>7689960</v>
      </c>
      <c r="D22" s="307">
        <f t="shared" si="1"/>
        <v>6392900</v>
      </c>
      <c r="E22" s="310"/>
      <c r="F22" s="310"/>
      <c r="G22" s="307">
        <v>6392900</v>
      </c>
      <c r="H22" s="309">
        <v>1297060</v>
      </c>
      <c r="I22" s="307"/>
      <c r="J22" s="309"/>
      <c r="K22" s="309"/>
      <c r="L22" s="283">
        <f t="shared" si="2"/>
        <v>0</v>
      </c>
      <c r="M22" s="134"/>
      <c r="N22" s="256"/>
      <c r="O22" s="257"/>
      <c r="P22" s="257"/>
      <c r="Q22" s="131"/>
      <c r="R22" s="257"/>
      <c r="S22" s="257"/>
      <c r="T22" s="257"/>
    </row>
    <row r="23" spans="1:17" s="256" customFormat="1" ht="12.75">
      <c r="A23" s="130"/>
      <c r="B23" s="343" t="s">
        <v>172</v>
      </c>
      <c r="C23" s="134">
        <f t="shared" si="0"/>
        <v>41727644</v>
      </c>
      <c r="D23" s="283">
        <f t="shared" si="1"/>
        <v>0</v>
      </c>
      <c r="E23" s="340"/>
      <c r="F23" s="340"/>
      <c r="G23" s="345"/>
      <c r="H23" s="346"/>
      <c r="I23" s="282">
        <f>41667644+60000</f>
        <v>41727644</v>
      </c>
      <c r="J23" s="231"/>
      <c r="K23" s="231"/>
      <c r="L23" s="282">
        <f t="shared" si="2"/>
        <v>0</v>
      </c>
      <c r="M23" s="350">
        <v>1176000</v>
      </c>
      <c r="O23" s="387"/>
      <c r="Q23" s="132"/>
    </row>
    <row r="24" spans="1:13" s="256" customFormat="1" ht="12.75">
      <c r="A24" s="130"/>
      <c r="B24" s="343" t="s">
        <v>46</v>
      </c>
      <c r="C24" s="350">
        <f t="shared" si="0"/>
        <v>10245125</v>
      </c>
      <c r="D24" s="282">
        <f t="shared" si="1"/>
        <v>0</v>
      </c>
      <c r="E24" s="340"/>
      <c r="F24" s="340"/>
      <c r="G24" s="345"/>
      <c r="H24" s="340"/>
      <c r="I24" s="282">
        <v>10245125</v>
      </c>
      <c r="J24" s="231"/>
      <c r="K24" s="231"/>
      <c r="L24" s="282">
        <f t="shared" si="2"/>
        <v>0</v>
      </c>
      <c r="M24" s="350"/>
    </row>
    <row r="25" spans="1:14" s="256" customFormat="1" ht="12.75">
      <c r="A25" s="130"/>
      <c r="B25" s="343" t="s">
        <v>173</v>
      </c>
      <c r="C25" s="134">
        <f t="shared" si="0"/>
        <v>16108200</v>
      </c>
      <c r="D25" s="283">
        <f t="shared" si="1"/>
        <v>0</v>
      </c>
      <c r="E25" s="351"/>
      <c r="F25" s="351"/>
      <c r="G25" s="352"/>
      <c r="H25" s="337"/>
      <c r="I25" s="283">
        <v>16108200</v>
      </c>
      <c r="J25" s="337"/>
      <c r="K25" s="337"/>
      <c r="L25" s="283">
        <f t="shared" si="2"/>
        <v>0</v>
      </c>
      <c r="M25" s="134"/>
      <c r="N25" s="257"/>
    </row>
    <row r="26" spans="1:20" ht="12.75">
      <c r="A26" s="124"/>
      <c r="B26" s="343" t="s">
        <v>107</v>
      </c>
      <c r="C26" s="350">
        <f t="shared" si="0"/>
        <v>398825</v>
      </c>
      <c r="D26" s="282">
        <f t="shared" si="1"/>
        <v>0</v>
      </c>
      <c r="E26" s="340"/>
      <c r="F26" s="340"/>
      <c r="G26" s="282"/>
      <c r="H26" s="231"/>
      <c r="I26" s="282">
        <v>398825</v>
      </c>
      <c r="J26" s="231"/>
      <c r="K26" s="231"/>
      <c r="L26" s="282">
        <f t="shared" si="2"/>
        <v>0</v>
      </c>
      <c r="M26" s="350"/>
      <c r="N26" s="257"/>
      <c r="O26" s="257"/>
      <c r="P26" s="257"/>
      <c r="Q26" s="257"/>
      <c r="R26" s="257"/>
      <c r="S26" s="257"/>
      <c r="T26" s="257"/>
    </row>
    <row r="27" spans="1:20" ht="12.75">
      <c r="A27" s="124"/>
      <c r="B27" s="343" t="s">
        <v>111</v>
      </c>
      <c r="C27" s="134">
        <f t="shared" si="0"/>
        <v>50000</v>
      </c>
      <c r="D27" s="283">
        <f t="shared" si="1"/>
        <v>0</v>
      </c>
      <c r="E27" s="351"/>
      <c r="F27" s="351"/>
      <c r="G27" s="283"/>
      <c r="H27" s="337"/>
      <c r="I27" s="283">
        <v>50000</v>
      </c>
      <c r="J27" s="337"/>
      <c r="K27" s="337"/>
      <c r="L27" s="283">
        <f t="shared" si="2"/>
        <v>0</v>
      </c>
      <c r="M27" s="134"/>
      <c r="N27" s="257"/>
      <c r="O27" s="257"/>
      <c r="P27" s="257"/>
      <c r="Q27" s="257"/>
      <c r="R27" s="257"/>
      <c r="S27" s="257"/>
      <c r="T27" s="257"/>
    </row>
    <row r="28" spans="1:20" ht="12.75">
      <c r="A28" s="124"/>
      <c r="B28" s="343" t="s">
        <v>129</v>
      </c>
      <c r="C28" s="134">
        <f t="shared" si="0"/>
        <v>12000</v>
      </c>
      <c r="D28" s="283">
        <f t="shared" si="1"/>
        <v>0</v>
      </c>
      <c r="E28" s="351"/>
      <c r="F28" s="351"/>
      <c r="G28" s="283"/>
      <c r="H28" s="337"/>
      <c r="I28" s="283">
        <v>12000</v>
      </c>
      <c r="J28" s="337"/>
      <c r="K28" s="337"/>
      <c r="L28" s="283">
        <f t="shared" si="2"/>
        <v>0</v>
      </c>
      <c r="M28" s="134"/>
      <c r="N28" s="257"/>
      <c r="O28" s="257"/>
      <c r="P28" s="257"/>
      <c r="Q28" s="257"/>
      <c r="R28" s="257"/>
      <c r="S28" s="257"/>
      <c r="T28" s="257"/>
    </row>
    <row r="29" spans="1:20" ht="12.75">
      <c r="A29" s="130"/>
      <c r="B29" s="353" t="s">
        <v>171</v>
      </c>
      <c r="C29" s="134">
        <f t="shared" si="0"/>
        <v>640000</v>
      </c>
      <c r="D29" s="283">
        <f t="shared" si="1"/>
        <v>0</v>
      </c>
      <c r="E29" s="351"/>
      <c r="F29" s="351"/>
      <c r="G29" s="283"/>
      <c r="H29" s="337"/>
      <c r="I29" s="283">
        <v>640000</v>
      </c>
      <c r="J29" s="337"/>
      <c r="K29" s="337"/>
      <c r="L29" s="283">
        <f t="shared" si="2"/>
        <v>0</v>
      </c>
      <c r="M29" s="134">
        <v>177000</v>
      </c>
      <c r="N29" s="257"/>
      <c r="O29" s="257"/>
      <c r="P29" s="257"/>
      <c r="Q29" s="257"/>
      <c r="R29" s="257"/>
      <c r="S29" s="257"/>
      <c r="T29" s="257"/>
    </row>
    <row r="30" spans="1:20" ht="12.75">
      <c r="A30" s="130"/>
      <c r="B30" s="343" t="s">
        <v>86</v>
      </c>
      <c r="C30" s="354">
        <f aca="true" t="shared" si="3" ref="C30:C35">D30+H30+I30</f>
        <v>0</v>
      </c>
      <c r="D30" s="284">
        <f t="shared" si="1"/>
        <v>0</v>
      </c>
      <c r="E30" s="355"/>
      <c r="F30" s="355"/>
      <c r="G30" s="284"/>
      <c r="H30" s="355"/>
      <c r="I30" s="356"/>
      <c r="J30" s="357"/>
      <c r="K30" s="357"/>
      <c r="L30" s="284">
        <f t="shared" si="2"/>
        <v>0</v>
      </c>
      <c r="M30" s="354">
        <v>88000000</v>
      </c>
      <c r="N30" s="257"/>
      <c r="O30" s="290"/>
      <c r="P30" s="257"/>
      <c r="Q30" s="257"/>
      <c r="R30" s="257"/>
      <c r="S30" s="257"/>
      <c r="T30" s="257"/>
    </row>
    <row r="31" spans="1:20" ht="12.75">
      <c r="A31" s="130"/>
      <c r="B31" s="358" t="s">
        <v>87</v>
      </c>
      <c r="C31" s="134">
        <f t="shared" si="3"/>
        <v>0</v>
      </c>
      <c r="D31" s="283">
        <f t="shared" si="1"/>
        <v>0</v>
      </c>
      <c r="E31" s="351"/>
      <c r="F31" s="351"/>
      <c r="G31" s="351"/>
      <c r="H31" s="351"/>
      <c r="I31" s="356"/>
      <c r="J31" s="337"/>
      <c r="K31" s="337"/>
      <c r="L31" s="283">
        <f t="shared" si="2"/>
        <v>0</v>
      </c>
      <c r="M31" s="134">
        <v>223000</v>
      </c>
      <c r="N31" s="257"/>
      <c r="O31" s="257"/>
      <c r="P31" s="257"/>
      <c r="Q31" s="257"/>
      <c r="R31" s="257"/>
      <c r="S31" s="257"/>
      <c r="T31" s="257"/>
    </row>
    <row r="32" spans="1:20" ht="15">
      <c r="A32" s="130"/>
      <c r="B32" s="359"/>
      <c r="C32" s="134">
        <f t="shared" si="3"/>
        <v>0</v>
      </c>
      <c r="D32" s="283">
        <f t="shared" si="1"/>
        <v>0</v>
      </c>
      <c r="E32" s="351"/>
      <c r="F32" s="351"/>
      <c r="G32" s="351"/>
      <c r="H32" s="351"/>
      <c r="I32" s="356"/>
      <c r="J32" s="337"/>
      <c r="K32" s="337"/>
      <c r="L32" s="283">
        <f t="shared" si="2"/>
        <v>0</v>
      </c>
      <c r="M32" s="134"/>
      <c r="N32" s="257"/>
      <c r="O32" s="257"/>
      <c r="P32" s="257"/>
      <c r="Q32" s="257"/>
      <c r="R32" s="257"/>
      <c r="S32" s="257"/>
      <c r="T32" s="257"/>
    </row>
    <row r="33" spans="1:20" ht="13.5" thickBot="1">
      <c r="A33" s="130"/>
      <c r="B33" s="360" t="s">
        <v>62</v>
      </c>
      <c r="C33" s="341">
        <f t="shared" si="3"/>
        <v>389983828</v>
      </c>
      <c r="D33" s="285">
        <f t="shared" si="1"/>
        <v>236231595</v>
      </c>
      <c r="E33" s="361">
        <f aca="true" t="shared" si="4" ref="E33:M33">SUM(E13+E14+E15+E16+E23+E24+E25+E26+E27+E28+E29+E30+E31+E32)</f>
        <v>24600000</v>
      </c>
      <c r="F33" s="361">
        <f t="shared" si="4"/>
        <v>193252515</v>
      </c>
      <c r="G33" s="361">
        <f t="shared" si="4"/>
        <v>18379080</v>
      </c>
      <c r="H33" s="361">
        <f t="shared" si="4"/>
        <v>78279543</v>
      </c>
      <c r="I33" s="362">
        <f t="shared" si="4"/>
        <v>75472690</v>
      </c>
      <c r="J33" s="361">
        <f t="shared" si="4"/>
        <v>50</v>
      </c>
      <c r="K33" s="361">
        <f t="shared" si="4"/>
        <v>418</v>
      </c>
      <c r="L33" s="285">
        <f t="shared" si="4"/>
        <v>468</v>
      </c>
      <c r="M33" s="341">
        <f t="shared" si="4"/>
        <v>89576000</v>
      </c>
      <c r="N33" s="257"/>
      <c r="O33" s="257"/>
      <c r="P33" s="257"/>
      <c r="Q33" s="257"/>
      <c r="R33" s="257"/>
      <c r="S33" s="257"/>
      <c r="T33" s="257"/>
    </row>
    <row r="34" spans="1:20" ht="12.75">
      <c r="A34" s="130"/>
      <c r="B34" s="363" t="s">
        <v>188</v>
      </c>
      <c r="C34" s="342">
        <f t="shared" si="3"/>
        <v>295993474</v>
      </c>
      <c r="D34" s="364">
        <f t="shared" si="1"/>
        <v>188029321</v>
      </c>
      <c r="E34" s="365">
        <v>11774000</v>
      </c>
      <c r="F34" s="365">
        <v>169639157</v>
      </c>
      <c r="G34" s="364">
        <v>6616164</v>
      </c>
      <c r="H34" s="366">
        <v>63929969</v>
      </c>
      <c r="I34" s="364">
        <f>40202986+2931198+900000</f>
        <v>44034184</v>
      </c>
      <c r="J34" s="365">
        <v>48</v>
      </c>
      <c r="K34" s="365">
        <v>456</v>
      </c>
      <c r="L34" s="364">
        <f>J34+K34</f>
        <v>504</v>
      </c>
      <c r="M34" s="342">
        <v>310000</v>
      </c>
      <c r="N34" s="257"/>
      <c r="O34" s="290"/>
      <c r="P34" s="257"/>
      <c r="Q34" s="257"/>
      <c r="R34" s="257"/>
      <c r="S34" s="257"/>
      <c r="T34" s="257"/>
    </row>
    <row r="35" spans="1:20" ht="13.5" thickBot="1">
      <c r="A35" s="130"/>
      <c r="B35" s="360" t="s">
        <v>259</v>
      </c>
      <c r="C35" s="341">
        <f t="shared" si="3"/>
        <v>11292956</v>
      </c>
      <c r="D35" s="285">
        <f>E35+F35+G35</f>
        <v>5369000</v>
      </c>
      <c r="E35" s="361"/>
      <c r="F35" s="361">
        <v>3033000</v>
      </c>
      <c r="G35" s="285">
        <v>2336000</v>
      </c>
      <c r="H35" s="367">
        <v>1825460</v>
      </c>
      <c r="I35" s="285">
        <f>4053001+45495</f>
        <v>4098496</v>
      </c>
      <c r="J35" s="361"/>
      <c r="K35" s="361">
        <v>6</v>
      </c>
      <c r="L35" s="285">
        <f>J35+K35</f>
        <v>6</v>
      </c>
      <c r="M35" s="341"/>
      <c r="N35" s="257"/>
      <c r="O35" s="290"/>
      <c r="P35" s="257"/>
      <c r="Q35" s="257"/>
      <c r="R35" s="257"/>
      <c r="S35" s="257"/>
      <c r="T35" s="257"/>
    </row>
    <row r="36" spans="1:20" ht="13.5" thickBot="1">
      <c r="A36" s="130"/>
      <c r="B36" s="368"/>
      <c r="C36" s="369"/>
      <c r="D36" s="370"/>
      <c r="E36" s="371"/>
      <c r="F36" s="371"/>
      <c r="G36" s="372"/>
      <c r="H36" s="371"/>
      <c r="I36" s="372"/>
      <c r="J36" s="371"/>
      <c r="K36" s="371"/>
      <c r="L36" s="372"/>
      <c r="M36" s="369"/>
      <c r="N36" s="257"/>
      <c r="O36" s="257"/>
      <c r="P36" s="257"/>
      <c r="Q36" s="257"/>
      <c r="R36" s="257"/>
      <c r="S36" s="257"/>
      <c r="T36" s="257"/>
    </row>
    <row r="37" spans="1:20" ht="13.5" thickBot="1">
      <c r="A37" s="130"/>
      <c r="B37" s="373" t="s">
        <v>63</v>
      </c>
      <c r="C37" s="374">
        <f aca="true" t="shared" si="5" ref="C37:C45">D37+H37+I37</f>
        <v>697270258</v>
      </c>
      <c r="D37" s="375">
        <f>E37+F37+G37</f>
        <v>429629916</v>
      </c>
      <c r="E37" s="376">
        <f aca="true" t="shared" si="6" ref="E37:M37">E34+E33+E35</f>
        <v>36374000</v>
      </c>
      <c r="F37" s="376">
        <f t="shared" si="6"/>
        <v>365924672</v>
      </c>
      <c r="G37" s="375">
        <f t="shared" si="6"/>
        <v>27331244</v>
      </c>
      <c r="H37" s="376">
        <f t="shared" si="6"/>
        <v>144034972</v>
      </c>
      <c r="I37" s="375">
        <f t="shared" si="6"/>
        <v>123605370</v>
      </c>
      <c r="J37" s="376">
        <f t="shared" si="6"/>
        <v>98</v>
      </c>
      <c r="K37" s="376">
        <f t="shared" si="6"/>
        <v>880</v>
      </c>
      <c r="L37" s="375">
        <f t="shared" si="6"/>
        <v>978</v>
      </c>
      <c r="M37" s="374">
        <f t="shared" si="6"/>
        <v>89886000</v>
      </c>
      <c r="N37" s="257"/>
      <c r="O37" s="257"/>
      <c r="P37" s="257"/>
      <c r="Q37" s="133"/>
      <c r="R37" s="257"/>
      <c r="S37" s="257"/>
      <c r="T37" s="257"/>
    </row>
    <row r="38" spans="1:20" ht="12.75">
      <c r="A38" s="130"/>
      <c r="B38" s="377" t="s">
        <v>187</v>
      </c>
      <c r="C38" s="134">
        <f t="shared" si="5"/>
        <v>7170399</v>
      </c>
      <c r="D38" s="283">
        <f t="shared" si="1"/>
        <v>5164423</v>
      </c>
      <c r="E38" s="337">
        <v>570000</v>
      </c>
      <c r="F38" s="337">
        <v>2986778</v>
      </c>
      <c r="G38" s="337">
        <v>1607645</v>
      </c>
      <c r="H38" s="337">
        <v>1952696</v>
      </c>
      <c r="I38" s="291">
        <v>53280</v>
      </c>
      <c r="J38" s="337"/>
      <c r="K38" s="337"/>
      <c r="L38" s="283">
        <f>J38+K38</f>
        <v>0</v>
      </c>
      <c r="M38" s="134"/>
      <c r="N38" s="257"/>
      <c r="O38" s="257"/>
      <c r="P38" s="257"/>
      <c r="Q38" s="129"/>
      <c r="R38" s="257"/>
      <c r="S38" s="257"/>
      <c r="T38" s="257"/>
    </row>
    <row r="39" spans="1:20" ht="12.75">
      <c r="A39" s="130"/>
      <c r="B39" s="377"/>
      <c r="C39" s="134">
        <f t="shared" si="5"/>
        <v>0</v>
      </c>
      <c r="D39" s="283">
        <f t="shared" si="1"/>
        <v>0</v>
      </c>
      <c r="E39" s="337"/>
      <c r="F39" s="337"/>
      <c r="G39" s="337"/>
      <c r="H39" s="337"/>
      <c r="I39" s="291"/>
      <c r="J39" s="337"/>
      <c r="K39" s="337"/>
      <c r="L39" s="283">
        <f>J39+K39</f>
        <v>0</v>
      </c>
      <c r="M39" s="134"/>
      <c r="N39" s="257"/>
      <c r="O39" s="257"/>
      <c r="P39" s="257"/>
      <c r="Q39" s="129"/>
      <c r="R39" s="257"/>
      <c r="S39" s="257"/>
      <c r="T39" s="257"/>
    </row>
    <row r="40" spans="1:20" ht="12.75">
      <c r="A40" s="130"/>
      <c r="B40" s="377"/>
      <c r="C40" s="134">
        <f t="shared" si="5"/>
        <v>0</v>
      </c>
      <c r="D40" s="283">
        <f t="shared" si="1"/>
        <v>0</v>
      </c>
      <c r="E40" s="337"/>
      <c r="F40" s="337"/>
      <c r="G40" s="337"/>
      <c r="H40" s="337"/>
      <c r="I40" s="291"/>
      <c r="J40" s="337"/>
      <c r="K40" s="337"/>
      <c r="L40" s="283">
        <f>J40+K40</f>
        <v>0</v>
      </c>
      <c r="M40" s="134"/>
      <c r="N40" s="257"/>
      <c r="O40" s="257"/>
      <c r="P40" s="257"/>
      <c r="Q40" s="129"/>
      <c r="R40" s="257"/>
      <c r="S40" s="257"/>
      <c r="T40" s="257"/>
    </row>
    <row r="41" spans="1:20" ht="12.75">
      <c r="A41" s="130"/>
      <c r="B41" s="378"/>
      <c r="C41" s="134">
        <f t="shared" si="5"/>
        <v>0</v>
      </c>
      <c r="D41" s="283">
        <f t="shared" si="1"/>
        <v>0</v>
      </c>
      <c r="E41" s="337"/>
      <c r="F41" s="337"/>
      <c r="G41" s="337"/>
      <c r="H41" s="337"/>
      <c r="I41" s="291"/>
      <c r="J41" s="337"/>
      <c r="K41" s="337"/>
      <c r="L41" s="283">
        <f>J41+K41</f>
        <v>0</v>
      </c>
      <c r="M41" s="134"/>
      <c r="N41" s="257"/>
      <c r="O41" s="290"/>
      <c r="P41" s="257"/>
      <c r="Q41" s="129"/>
      <c r="R41" s="257"/>
      <c r="S41" s="257"/>
      <c r="T41" s="257"/>
    </row>
    <row r="42" spans="1:20" ht="12.75">
      <c r="A42" s="130"/>
      <c r="B42" s="379" t="s">
        <v>130</v>
      </c>
      <c r="C42" s="134">
        <f t="shared" si="5"/>
        <v>15480868</v>
      </c>
      <c r="D42" s="283">
        <f t="shared" si="1"/>
        <v>0</v>
      </c>
      <c r="E42" s="337"/>
      <c r="F42" s="337"/>
      <c r="G42" s="283"/>
      <c r="H42" s="339"/>
      <c r="I42" s="291">
        <f>15480868</f>
        <v>15480868</v>
      </c>
      <c r="J42" s="337"/>
      <c r="K42" s="337"/>
      <c r="L42" s="283">
        <f>J42+K42</f>
        <v>0</v>
      </c>
      <c r="M42" s="134"/>
      <c r="N42" s="257"/>
      <c r="O42" s="257"/>
      <c r="P42" s="257"/>
      <c r="Q42" s="133"/>
      <c r="R42" s="257"/>
      <c r="S42" s="257"/>
      <c r="T42" s="257"/>
    </row>
    <row r="43" spans="1:20" ht="13.5" thickBot="1">
      <c r="A43" s="127" t="s">
        <v>32</v>
      </c>
      <c r="B43" s="380" t="s">
        <v>64</v>
      </c>
      <c r="C43" s="381">
        <f t="shared" si="5"/>
        <v>22651267</v>
      </c>
      <c r="D43" s="382">
        <f t="shared" si="1"/>
        <v>5164423</v>
      </c>
      <c r="E43" s="383">
        <f aca="true" t="shared" si="7" ref="E43:M43">SUM(E38:E42)</f>
        <v>570000</v>
      </c>
      <c r="F43" s="383">
        <f>SUM(F38:F42)</f>
        <v>2986778</v>
      </c>
      <c r="G43" s="384">
        <f>SUM(G38:G42)</f>
        <v>1607645</v>
      </c>
      <c r="H43" s="383">
        <f t="shared" si="7"/>
        <v>1952696</v>
      </c>
      <c r="I43" s="385">
        <f t="shared" si="7"/>
        <v>15534148</v>
      </c>
      <c r="J43" s="383">
        <f>SUM(J38:J42)</f>
        <v>0</v>
      </c>
      <c r="K43" s="383">
        <f>SUM(K38:K42)</f>
        <v>0</v>
      </c>
      <c r="L43" s="384">
        <f t="shared" si="7"/>
        <v>0</v>
      </c>
      <c r="M43" s="381">
        <f t="shared" si="7"/>
        <v>0</v>
      </c>
      <c r="N43" s="256"/>
      <c r="O43" s="257"/>
      <c r="P43" s="257"/>
      <c r="Q43" s="133"/>
      <c r="R43" s="257"/>
      <c r="S43" s="257"/>
      <c r="T43" s="257"/>
    </row>
    <row r="44" spans="1:14" ht="14.25" thickBot="1" thickTop="1">
      <c r="A44" s="127" t="s">
        <v>48</v>
      </c>
      <c r="B44" s="286" t="s">
        <v>49</v>
      </c>
      <c r="C44" s="287">
        <f t="shared" si="5"/>
        <v>719921524.9</v>
      </c>
      <c r="D44" s="292">
        <f t="shared" si="1"/>
        <v>434794339</v>
      </c>
      <c r="E44" s="289">
        <f>E43+E37</f>
        <v>36944000</v>
      </c>
      <c r="F44" s="289">
        <f>F43+F37</f>
        <v>368911450</v>
      </c>
      <c r="G44" s="288">
        <f>G43+G37</f>
        <v>28938889</v>
      </c>
      <c r="H44" s="289">
        <f>H43+H37-0.1</f>
        <v>145987667.9</v>
      </c>
      <c r="I44" s="288">
        <f>I43+I37</f>
        <v>139139518</v>
      </c>
      <c r="J44" s="289">
        <f>J43+J37</f>
        <v>98</v>
      </c>
      <c r="K44" s="289">
        <f>K43+K37</f>
        <v>880</v>
      </c>
      <c r="L44" s="288">
        <f>L43+L37</f>
        <v>978</v>
      </c>
      <c r="M44" s="287">
        <f>M43+M37</f>
        <v>89886000</v>
      </c>
      <c r="N44" s="256"/>
    </row>
    <row r="45" spans="1:20" ht="16.5" thickBot="1">
      <c r="A45" s="136"/>
      <c r="B45" s="293" t="s">
        <v>50</v>
      </c>
      <c r="C45" s="294">
        <f t="shared" si="5"/>
        <v>719921525</v>
      </c>
      <c r="D45" s="295">
        <f>E45+F45+G45</f>
        <v>434794339</v>
      </c>
      <c r="E45" s="296">
        <v>36944000</v>
      </c>
      <c r="F45" s="296">
        <v>368911450</v>
      </c>
      <c r="G45" s="295">
        <v>28938889</v>
      </c>
      <c r="H45" s="296">
        <v>145987668</v>
      </c>
      <c r="I45" s="295">
        <f>133049649+6089869</f>
        <v>139139518</v>
      </c>
      <c r="J45" s="296">
        <v>98</v>
      </c>
      <c r="K45" s="296">
        <v>880</v>
      </c>
      <c r="L45" s="295">
        <v>978</v>
      </c>
      <c r="M45" s="294">
        <v>89886000</v>
      </c>
      <c r="N45" s="256"/>
      <c r="O45" s="257"/>
      <c r="P45" s="257"/>
      <c r="Q45" s="133"/>
      <c r="R45" s="257"/>
      <c r="S45" s="257"/>
      <c r="T45" s="257"/>
    </row>
    <row r="46" spans="3:13" ht="12.75"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</row>
    <row r="47" spans="9:11" ht="12.75">
      <c r="I47" s="297"/>
      <c r="J47" s="297"/>
      <c r="K47" s="297"/>
    </row>
    <row r="48" spans="1:14" ht="12.75">
      <c r="A48" s="263"/>
      <c r="B48" s="263"/>
      <c r="C48" s="263"/>
      <c r="D48" s="263"/>
      <c r="E48" s="263"/>
      <c r="F48" s="263"/>
      <c r="G48" s="263"/>
      <c r="H48" s="263"/>
      <c r="I48" s="386"/>
      <c r="J48" s="263"/>
      <c r="K48" s="263"/>
      <c r="L48" s="263"/>
      <c r="M48" s="263"/>
      <c r="N48" s="263"/>
    </row>
    <row r="49" ht="12.75">
      <c r="I49" s="297"/>
    </row>
  </sheetData>
  <sheetProtection/>
  <printOptions horizontalCentered="1"/>
  <pageMargins left="0.5905511811023623" right="0.3937007874015748" top="0.5905511811023623" bottom="0.3937007874015748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Palivcová Markéta</cp:lastModifiedBy>
  <cp:lastPrinted>2015-12-10T07:46:56Z</cp:lastPrinted>
  <dcterms:created xsi:type="dcterms:W3CDTF">2002-01-03T09:08:12Z</dcterms:created>
  <dcterms:modified xsi:type="dcterms:W3CDTF">2016-01-05T12:53:04Z</dcterms:modified>
  <cp:category/>
  <cp:version/>
  <cp:contentType/>
  <cp:contentStatus/>
</cp:coreProperties>
</file>